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red/Relocated Items/Security/AAAActive_2023_on/Reviewing/Cryosphere/Moreno et al /"/>
    </mc:Choice>
  </mc:AlternateContent>
  <xr:revisionPtr revIDLastSave="0" documentId="8_{A94A1E72-92B3-154F-8CB4-69C9E56D3A23}" xr6:coauthVersionLast="47" xr6:coauthVersionMax="47" xr10:uidLastSave="{00000000-0000-0000-0000-000000000000}"/>
  <bookViews>
    <workbookView xWindow="0" yWindow="500" windowWidth="28800" windowHeight="16600" activeTab="1" xr2:uid="{8A78D2AC-8C7F-EF47-A2CC-A771DE1EC836}"/>
  </bookViews>
  <sheets>
    <sheet name="GS exponent simple" sheetId="5" r:id="rId1"/>
    <sheet name="Composite Rheology Calcs" sheetId="1" r:id="rId2"/>
    <sheet name="Rate ratio vs stress" sheetId="3" r:id="rId3"/>
    <sheet name="Strain Rate errors reverse eng" sheetId="4" r:id="rId4"/>
  </sheets>
  <definedNames>
    <definedName name="D">'Composite Rheology Calcs'!$B$3</definedName>
    <definedName name="D2_">'Composite Rheology Calcs'!$B$4</definedName>
    <definedName name="Easy_enhance">'Composite Rheology Calcs'!$B$6</definedName>
    <definedName name="easy?">'Composite Rheology Calcs'!$B$5</definedName>
    <definedName name="Inclination_Error">'Strain Rate errors reverse eng'!$B$3</definedName>
    <definedName name="Probe_length">'Strain Rate errors reverse eng'!$B$2</definedName>
    <definedName name="R_">'Composite Rheology Calcs'!$B$1</definedName>
    <definedName name="T">'Composite Rheology Calcs'!$B$2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5" l="1"/>
  <c r="E9" i="5"/>
  <c r="E5" i="5"/>
  <c r="C9" i="5"/>
  <c r="B9" i="5"/>
  <c r="C8" i="5"/>
  <c r="B8" i="5"/>
  <c r="C5" i="5"/>
  <c r="B5" i="5"/>
  <c r="F5" i="4"/>
  <c r="G5" i="4" s="1"/>
  <c r="I5" i="4" s="1"/>
  <c r="L6" i="4"/>
  <c r="P6" i="4" s="1"/>
  <c r="F6" i="4"/>
  <c r="G6" i="4" s="1"/>
  <c r="I6" i="4" s="1"/>
  <c r="N6" i="4" s="1"/>
  <c r="R6" i="4" s="1"/>
  <c r="T6" i="4" s="1"/>
  <c r="F7" i="4"/>
  <c r="G7" i="4" s="1"/>
  <c r="I7" i="4" s="1"/>
  <c r="N7" i="4" s="1"/>
  <c r="R7" i="4" s="1"/>
  <c r="T7" i="4" s="1"/>
  <c r="F8" i="4"/>
  <c r="G8" i="4" s="1"/>
  <c r="C6" i="4"/>
  <c r="D6" i="4" s="1"/>
  <c r="E6" i="4" s="1"/>
  <c r="H6" i="4" s="1"/>
  <c r="J6" i="4" s="1"/>
  <c r="C7" i="4"/>
  <c r="D7" i="4" s="1"/>
  <c r="E7" i="4" s="1"/>
  <c r="H7" i="4" s="1"/>
  <c r="J7" i="4" s="1"/>
  <c r="C8" i="4"/>
  <c r="D8" i="4" s="1"/>
  <c r="E8" i="4" s="1"/>
  <c r="H8" i="4" s="1"/>
  <c r="J8" i="4" s="1"/>
  <c r="C5" i="4"/>
  <c r="D5" i="4" s="1"/>
  <c r="E5" i="4" s="1"/>
  <c r="H5" i="4" s="1"/>
  <c r="J5" i="4" s="1"/>
  <c r="I8" i="4" l="1"/>
  <c r="K8" i="4"/>
  <c r="O8" i="4" s="1"/>
  <c r="L8" i="4"/>
  <c r="P8" i="4" s="1"/>
  <c r="N5" i="4"/>
  <c r="R5" i="4" s="1"/>
  <c r="T5" i="4" s="1"/>
  <c r="M5" i="4"/>
  <c r="Q5" i="4" s="1"/>
  <c r="S5" i="4" s="1"/>
  <c r="K6" i="4"/>
  <c r="O6" i="4" s="1"/>
  <c r="M6" i="4"/>
  <c r="Q6" i="4" s="1"/>
  <c r="S6" i="4" s="1"/>
  <c r="K7" i="4"/>
  <c r="O7" i="4" s="1"/>
  <c r="L7" i="4"/>
  <c r="P7" i="4" s="1"/>
  <c r="M7" i="4"/>
  <c r="Q7" i="4" s="1"/>
  <c r="S7" i="4" s="1"/>
  <c r="K5" i="4"/>
  <c r="O5" i="4" s="1"/>
  <c r="L5" i="4"/>
  <c r="P5" i="4" s="1"/>
  <c r="W12" i="1"/>
  <c r="E12" i="1"/>
  <c r="J16" i="1"/>
  <c r="H4" i="1"/>
  <c r="V10" i="1"/>
  <c r="V11" i="1" s="1"/>
  <c r="Q10" i="1"/>
  <c r="Q11" i="1" s="1"/>
  <c r="H10" i="1"/>
  <c r="H11" i="1" s="1"/>
  <c r="D10" i="1"/>
  <c r="D11" i="1" s="1"/>
  <c r="H20" i="1"/>
  <c r="G20" i="1"/>
  <c r="H15" i="1"/>
  <c r="H16" i="1" s="1"/>
  <c r="H17" i="1" s="1"/>
  <c r="G15" i="1"/>
  <c r="G16" i="1" s="1"/>
  <c r="G17" i="1" s="1"/>
  <c r="G11" i="1"/>
  <c r="C11" i="1"/>
  <c r="X16" i="1"/>
  <c r="D4" i="1"/>
  <c r="B4" i="1" s="1"/>
  <c r="T12" i="1" s="1"/>
  <c r="T13" i="1" s="1"/>
  <c r="D3" i="1"/>
  <c r="B3" i="1" s="1"/>
  <c r="O12" i="1" s="1"/>
  <c r="O13" i="1" s="1"/>
  <c r="P11" i="1"/>
  <c r="O11" i="1"/>
  <c r="V20" i="1"/>
  <c r="U20" i="1"/>
  <c r="T20" i="1"/>
  <c r="V15" i="1"/>
  <c r="V16" i="1" s="1"/>
  <c r="V17" i="1" s="1"/>
  <c r="U15" i="1"/>
  <c r="U16" i="1" s="1"/>
  <c r="U17" i="1" s="1"/>
  <c r="T15" i="1"/>
  <c r="T16" i="1" s="1"/>
  <c r="T17" i="1" s="1"/>
  <c r="U11" i="1"/>
  <c r="T11" i="1"/>
  <c r="D20" i="1"/>
  <c r="C20" i="1"/>
  <c r="D15" i="1"/>
  <c r="D16" i="1" s="1"/>
  <c r="D17" i="1" s="1"/>
  <c r="C15" i="1"/>
  <c r="C16" i="1" s="1"/>
  <c r="P20" i="1"/>
  <c r="Q20" i="1"/>
  <c r="O20" i="1"/>
  <c r="P15" i="1"/>
  <c r="P16" i="1" s="1"/>
  <c r="P17" i="1" s="1"/>
  <c r="O15" i="1"/>
  <c r="O16" i="1" s="1"/>
  <c r="O17" i="1" s="1"/>
  <c r="O58" i="1" s="1"/>
  <c r="Q15" i="1"/>
  <c r="Q16" i="1" s="1"/>
  <c r="Q17" i="1" s="1"/>
  <c r="I12" i="1" l="1"/>
  <c r="H12" i="1"/>
  <c r="H13" i="1" s="1"/>
  <c r="H21" i="1" s="1"/>
  <c r="R12" i="1"/>
  <c r="N8" i="4"/>
  <c r="R8" i="4" s="1"/>
  <c r="T8" i="4" s="1"/>
  <c r="M8" i="4"/>
  <c r="Q8" i="4" s="1"/>
  <c r="S8" i="4" s="1"/>
  <c r="T45" i="1"/>
  <c r="O56" i="1"/>
  <c r="O59" i="1"/>
  <c r="O50" i="1"/>
  <c r="O48" i="1"/>
  <c r="O61" i="1"/>
  <c r="T55" i="1"/>
  <c r="T48" i="1"/>
  <c r="O51" i="1"/>
  <c r="T49" i="1"/>
  <c r="O47" i="1"/>
  <c r="O60" i="1"/>
  <c r="T57" i="1"/>
  <c r="O55" i="1"/>
  <c r="T50" i="1"/>
  <c r="T61" i="1"/>
  <c r="T51" i="1"/>
  <c r="O49" i="1"/>
  <c r="O62" i="1"/>
  <c r="T59" i="1"/>
  <c r="O57" i="1"/>
  <c r="O54" i="1"/>
  <c r="H62" i="1"/>
  <c r="H49" i="1"/>
  <c r="O53" i="1"/>
  <c r="T47" i="1"/>
  <c r="T46" i="1"/>
  <c r="O46" i="1"/>
  <c r="O45" i="1"/>
  <c r="T62" i="1"/>
  <c r="T60" i="1"/>
  <c r="T58" i="1"/>
  <c r="T56" i="1"/>
  <c r="T54" i="1"/>
  <c r="T53" i="1"/>
  <c r="T52" i="1"/>
  <c r="O52" i="1"/>
  <c r="G12" i="1"/>
  <c r="H54" i="1"/>
  <c r="Q12" i="1"/>
  <c r="Q13" i="1" s="1"/>
  <c r="Q60" i="1" s="1"/>
  <c r="C12" i="1"/>
  <c r="C13" i="1" s="1"/>
  <c r="P12" i="1"/>
  <c r="P13" i="1" s="1"/>
  <c r="P52" i="1" s="1"/>
  <c r="D12" i="1"/>
  <c r="D13" i="1" s="1"/>
  <c r="D47" i="1" s="1"/>
  <c r="U12" i="1"/>
  <c r="U13" i="1" s="1"/>
  <c r="U51" i="1" s="1"/>
  <c r="V12" i="1"/>
  <c r="V13" i="1" s="1"/>
  <c r="V51" i="1" s="1"/>
  <c r="T22" i="1"/>
  <c r="T23" i="1"/>
  <c r="T44" i="1"/>
  <c r="T42" i="1"/>
  <c r="T40" i="1"/>
  <c r="T38" i="1"/>
  <c r="T36" i="1"/>
  <c r="T34" i="1"/>
  <c r="T32" i="1"/>
  <c r="T31" i="1"/>
  <c r="T28" i="1"/>
  <c r="T43" i="1"/>
  <c r="T41" i="1"/>
  <c r="T39" i="1"/>
  <c r="T37" i="1"/>
  <c r="T35" i="1"/>
  <c r="T33" i="1"/>
  <c r="T30" i="1"/>
  <c r="T29" i="1"/>
  <c r="T27" i="1"/>
  <c r="T25" i="1"/>
  <c r="T24" i="1"/>
  <c r="U43" i="1"/>
  <c r="T21" i="1"/>
  <c r="T26" i="1"/>
  <c r="V37" i="1"/>
  <c r="C17" i="1"/>
  <c r="O32" i="1"/>
  <c r="O36" i="1"/>
  <c r="O24" i="1"/>
  <c r="O40" i="1"/>
  <c r="O28" i="1"/>
  <c r="O44" i="1"/>
  <c r="O22" i="1"/>
  <c r="O26" i="1"/>
  <c r="O30" i="1"/>
  <c r="O34" i="1"/>
  <c r="O38" i="1"/>
  <c r="O42" i="1"/>
  <c r="O21" i="1"/>
  <c r="O25" i="1"/>
  <c r="O29" i="1"/>
  <c r="O33" i="1"/>
  <c r="O37" i="1"/>
  <c r="O41" i="1"/>
  <c r="O23" i="1"/>
  <c r="O27" i="1"/>
  <c r="O31" i="1"/>
  <c r="O35" i="1"/>
  <c r="O39" i="1"/>
  <c r="O43" i="1"/>
  <c r="D50" i="1" l="1"/>
  <c r="Q36" i="1"/>
  <c r="D59" i="1"/>
  <c r="V53" i="1"/>
  <c r="D21" i="1"/>
  <c r="Q43" i="1"/>
  <c r="G13" i="1"/>
  <c r="G47" i="1" s="1"/>
  <c r="H36" i="1"/>
  <c r="D60" i="1"/>
  <c r="D48" i="1"/>
  <c r="H55" i="1"/>
  <c r="Q48" i="1"/>
  <c r="H52" i="1"/>
  <c r="H60" i="1"/>
  <c r="D57" i="1"/>
  <c r="P51" i="1"/>
  <c r="H59" i="1"/>
  <c r="V56" i="1"/>
  <c r="H47" i="1"/>
  <c r="H58" i="1"/>
  <c r="P49" i="1"/>
  <c r="Q27" i="1"/>
  <c r="Q32" i="1"/>
  <c r="U36" i="1"/>
  <c r="D54" i="1"/>
  <c r="D62" i="1"/>
  <c r="H45" i="1"/>
  <c r="D52" i="1"/>
  <c r="L52" i="1" s="1"/>
  <c r="H53" i="1"/>
  <c r="W51" i="1"/>
  <c r="AA51" i="1"/>
  <c r="C54" i="1"/>
  <c r="C55" i="1"/>
  <c r="C56" i="1"/>
  <c r="C57" i="1"/>
  <c r="E57" i="1" s="1"/>
  <c r="C58" i="1"/>
  <c r="C59" i="1"/>
  <c r="C60" i="1"/>
  <c r="C61" i="1"/>
  <c r="C62" i="1"/>
  <c r="C45" i="1"/>
  <c r="C48" i="1"/>
  <c r="L48" i="1" s="1"/>
  <c r="C51" i="1"/>
  <c r="C47" i="1"/>
  <c r="E47" i="1" s="1"/>
  <c r="C52" i="1"/>
  <c r="C50" i="1"/>
  <c r="L50" i="1" s="1"/>
  <c r="C53" i="1"/>
  <c r="C46" i="1"/>
  <c r="C49" i="1"/>
  <c r="V22" i="1"/>
  <c r="V57" i="1"/>
  <c r="V49" i="1"/>
  <c r="V54" i="1"/>
  <c r="V60" i="1"/>
  <c r="V59" i="1"/>
  <c r="V45" i="1"/>
  <c r="V58" i="1"/>
  <c r="V52" i="1"/>
  <c r="V47" i="1"/>
  <c r="V61" i="1"/>
  <c r="AA61" i="1" s="1"/>
  <c r="V50" i="1"/>
  <c r="V62" i="1"/>
  <c r="V46" i="1"/>
  <c r="G55" i="1"/>
  <c r="G45" i="1"/>
  <c r="G51" i="1"/>
  <c r="G57" i="1"/>
  <c r="G59" i="1"/>
  <c r="I59" i="1" s="1"/>
  <c r="G61" i="1"/>
  <c r="G48" i="1"/>
  <c r="G54" i="1"/>
  <c r="I54" i="1" s="1"/>
  <c r="G58" i="1"/>
  <c r="I58" i="1" s="1"/>
  <c r="G62" i="1"/>
  <c r="I62" i="1" s="1"/>
  <c r="G53" i="1"/>
  <c r="G56" i="1"/>
  <c r="G60" i="1"/>
  <c r="G50" i="1"/>
  <c r="G46" i="1"/>
  <c r="G49" i="1"/>
  <c r="V48" i="1"/>
  <c r="M62" i="1"/>
  <c r="U37" i="1"/>
  <c r="AA37" i="1" s="1"/>
  <c r="U56" i="1"/>
  <c r="U62" i="1"/>
  <c r="W62" i="1" s="1"/>
  <c r="U47" i="1"/>
  <c r="U54" i="1"/>
  <c r="W54" i="1" s="1"/>
  <c r="U58" i="1"/>
  <c r="U60" i="1"/>
  <c r="W60" i="1" s="1"/>
  <c r="U46" i="1"/>
  <c r="U55" i="1"/>
  <c r="U59" i="1"/>
  <c r="U57" i="1"/>
  <c r="U61" i="1"/>
  <c r="U48" i="1"/>
  <c r="U49" i="1"/>
  <c r="U52" i="1"/>
  <c r="W52" i="1" s="1"/>
  <c r="U50" i="1"/>
  <c r="Q44" i="1"/>
  <c r="Q53" i="1"/>
  <c r="Q57" i="1"/>
  <c r="Q61" i="1"/>
  <c r="Q49" i="1"/>
  <c r="Q46" i="1"/>
  <c r="Q54" i="1"/>
  <c r="Q58" i="1"/>
  <c r="Q62" i="1"/>
  <c r="Q50" i="1"/>
  <c r="Q52" i="1"/>
  <c r="Z52" i="1" s="1"/>
  <c r="Q45" i="1"/>
  <c r="Q55" i="1"/>
  <c r="Z55" i="1" s="1"/>
  <c r="Q59" i="1"/>
  <c r="Q47" i="1"/>
  <c r="Q51" i="1"/>
  <c r="Z51" i="1" s="1"/>
  <c r="G52" i="1"/>
  <c r="U45" i="1"/>
  <c r="U53" i="1"/>
  <c r="AA53" i="1" s="1"/>
  <c r="Q56" i="1"/>
  <c r="V55" i="1"/>
  <c r="D49" i="1"/>
  <c r="L49" i="1" s="1"/>
  <c r="D55" i="1"/>
  <c r="L55" i="1" s="1"/>
  <c r="D58" i="1"/>
  <c r="D45" i="1"/>
  <c r="L45" i="1" s="1"/>
  <c r="P22" i="1"/>
  <c r="P46" i="1"/>
  <c r="P45" i="1"/>
  <c r="P56" i="1"/>
  <c r="P57" i="1"/>
  <c r="P60" i="1"/>
  <c r="R60" i="1" s="1"/>
  <c r="P61" i="1"/>
  <c r="P47" i="1"/>
  <c r="P48" i="1"/>
  <c r="P54" i="1"/>
  <c r="P55" i="1"/>
  <c r="P58" i="1"/>
  <c r="P59" i="1"/>
  <c r="P62" i="1"/>
  <c r="R62" i="1" s="1"/>
  <c r="P53" i="1"/>
  <c r="H33" i="1"/>
  <c r="H57" i="1"/>
  <c r="M57" i="1" s="1"/>
  <c r="H61" i="1"/>
  <c r="M61" i="1" s="1"/>
  <c r="H48" i="1"/>
  <c r="H51" i="1"/>
  <c r="M51" i="1" s="1"/>
  <c r="P50" i="1"/>
  <c r="D56" i="1"/>
  <c r="D61" i="1"/>
  <c r="D51" i="1"/>
  <c r="D53" i="1"/>
  <c r="H46" i="1"/>
  <c r="H50" i="1"/>
  <c r="M50" i="1" s="1"/>
  <c r="H56" i="1"/>
  <c r="D46" i="1"/>
  <c r="H34" i="1"/>
  <c r="V30" i="1"/>
  <c r="H43" i="1"/>
  <c r="V26" i="1"/>
  <c r="V41" i="1"/>
  <c r="P24" i="1"/>
  <c r="V35" i="1"/>
  <c r="V25" i="1"/>
  <c r="P40" i="1"/>
  <c r="P21" i="1"/>
  <c r="V42" i="1"/>
  <c r="V31" i="1"/>
  <c r="G44" i="1"/>
  <c r="G32" i="1"/>
  <c r="G37" i="1"/>
  <c r="G27" i="1"/>
  <c r="G39" i="1"/>
  <c r="G34" i="1"/>
  <c r="G25" i="1"/>
  <c r="G42" i="1"/>
  <c r="G28" i="1"/>
  <c r="G33" i="1"/>
  <c r="G22" i="1"/>
  <c r="G40" i="1"/>
  <c r="G35" i="1"/>
  <c r="G26" i="1"/>
  <c r="G24" i="1"/>
  <c r="G41" i="1"/>
  <c r="G21" i="1"/>
  <c r="I21" i="1" s="1"/>
  <c r="G23" i="1"/>
  <c r="G30" i="1"/>
  <c r="P30" i="1"/>
  <c r="H35" i="1"/>
  <c r="M35" i="1" s="1"/>
  <c r="H28" i="1"/>
  <c r="H38" i="1"/>
  <c r="P32" i="1"/>
  <c r="H37" i="1"/>
  <c r="Q42" i="1"/>
  <c r="U21" i="1"/>
  <c r="U27" i="1"/>
  <c r="Q33" i="1"/>
  <c r="Q35" i="1"/>
  <c r="H44" i="1"/>
  <c r="H41" i="1"/>
  <c r="M41" i="1" s="1"/>
  <c r="Q25" i="1"/>
  <c r="Q41" i="1"/>
  <c r="Q28" i="1"/>
  <c r="P38" i="1"/>
  <c r="Q30" i="1"/>
  <c r="U30" i="1"/>
  <c r="AA30" i="1" s="1"/>
  <c r="G38" i="1"/>
  <c r="H27" i="1"/>
  <c r="G43" i="1"/>
  <c r="G31" i="1"/>
  <c r="H22" i="1"/>
  <c r="G29" i="1"/>
  <c r="G36" i="1"/>
  <c r="Q29" i="1"/>
  <c r="Q37" i="1"/>
  <c r="Q34" i="1"/>
  <c r="C21" i="1"/>
  <c r="V39" i="1"/>
  <c r="V34" i="1"/>
  <c r="V29" i="1"/>
  <c r="V23" i="1"/>
  <c r="U22" i="1"/>
  <c r="U38" i="1"/>
  <c r="U29" i="1"/>
  <c r="H39" i="1"/>
  <c r="M39" i="1" s="1"/>
  <c r="H31" i="1"/>
  <c r="H23" i="1"/>
  <c r="H40" i="1"/>
  <c r="H32" i="1"/>
  <c r="H24" i="1"/>
  <c r="H26" i="1"/>
  <c r="H42" i="1"/>
  <c r="H25" i="1"/>
  <c r="Q23" i="1"/>
  <c r="Q31" i="1"/>
  <c r="Q39" i="1"/>
  <c r="Q24" i="1"/>
  <c r="Q38" i="1"/>
  <c r="V43" i="1"/>
  <c r="AA43" i="1" s="1"/>
  <c r="V38" i="1"/>
  <c r="V33" i="1"/>
  <c r="V27" i="1"/>
  <c r="V21" i="1"/>
  <c r="U28" i="1"/>
  <c r="U44" i="1"/>
  <c r="U35" i="1"/>
  <c r="H30" i="1"/>
  <c r="M30" i="1" s="1"/>
  <c r="H29" i="1"/>
  <c r="P23" i="1"/>
  <c r="P33" i="1"/>
  <c r="P27" i="1"/>
  <c r="D28" i="1"/>
  <c r="P26" i="1"/>
  <c r="P34" i="1"/>
  <c r="P44" i="1"/>
  <c r="R44" i="1" s="1"/>
  <c r="P31" i="1"/>
  <c r="P35" i="1"/>
  <c r="D31" i="1"/>
  <c r="D34" i="1"/>
  <c r="P28" i="1"/>
  <c r="P36" i="1"/>
  <c r="R36" i="1" s="1"/>
  <c r="P25" i="1"/>
  <c r="V44" i="1"/>
  <c r="V40" i="1"/>
  <c r="V36" i="1"/>
  <c r="V32" i="1"/>
  <c r="V28" i="1"/>
  <c r="V24" i="1"/>
  <c r="Q22" i="1"/>
  <c r="Q40" i="1"/>
  <c r="Q21" i="1"/>
  <c r="D39" i="1"/>
  <c r="D32" i="1"/>
  <c r="D29" i="1"/>
  <c r="D26" i="1"/>
  <c r="U24" i="1"/>
  <c r="U32" i="1"/>
  <c r="U40" i="1"/>
  <c r="U23" i="1"/>
  <c r="U31" i="1"/>
  <c r="U39" i="1"/>
  <c r="Q26" i="1"/>
  <c r="D41" i="1"/>
  <c r="D22" i="1"/>
  <c r="D35" i="1"/>
  <c r="D37" i="1"/>
  <c r="U26" i="1"/>
  <c r="U34" i="1"/>
  <c r="U42" i="1"/>
  <c r="U25" i="1"/>
  <c r="U33" i="1"/>
  <c r="U41" i="1"/>
  <c r="P39" i="1"/>
  <c r="P41" i="1"/>
  <c r="P43" i="1"/>
  <c r="R43" i="1" s="1"/>
  <c r="P29" i="1"/>
  <c r="D33" i="1"/>
  <c r="D44" i="1"/>
  <c r="D30" i="1"/>
  <c r="D24" i="1"/>
  <c r="D40" i="1"/>
  <c r="D42" i="1"/>
  <c r="D23" i="1"/>
  <c r="P42" i="1"/>
  <c r="P37" i="1"/>
  <c r="D25" i="1"/>
  <c r="D36" i="1"/>
  <c r="D38" i="1"/>
  <c r="D27" i="1"/>
  <c r="D43" i="1"/>
  <c r="W37" i="1"/>
  <c r="C40" i="1"/>
  <c r="C44" i="1"/>
  <c r="C24" i="1"/>
  <c r="C25" i="1"/>
  <c r="C32" i="1"/>
  <c r="C28" i="1"/>
  <c r="C30" i="1"/>
  <c r="C38" i="1"/>
  <c r="C37" i="1"/>
  <c r="C41" i="1"/>
  <c r="C42" i="1"/>
  <c r="C26" i="1"/>
  <c r="C34" i="1"/>
  <c r="C29" i="1"/>
  <c r="C36" i="1"/>
  <c r="C31" i="1"/>
  <c r="C27" i="1"/>
  <c r="C35" i="1"/>
  <c r="C43" i="1"/>
  <c r="C33" i="1"/>
  <c r="C23" i="1"/>
  <c r="C39" i="1"/>
  <c r="C22" i="1"/>
  <c r="E54" i="1" l="1"/>
  <c r="W58" i="1"/>
  <c r="W22" i="1"/>
  <c r="W50" i="1"/>
  <c r="R58" i="1"/>
  <c r="AA28" i="1"/>
  <c r="E48" i="1"/>
  <c r="L59" i="1"/>
  <c r="L61" i="1"/>
  <c r="E52" i="1"/>
  <c r="R46" i="1"/>
  <c r="W24" i="1"/>
  <c r="I36" i="1"/>
  <c r="R48" i="1"/>
  <c r="W48" i="1"/>
  <c r="R27" i="1"/>
  <c r="X60" i="1"/>
  <c r="Y60" i="1" s="1"/>
  <c r="E50" i="1"/>
  <c r="W53" i="1"/>
  <c r="E62" i="1"/>
  <c r="J62" i="1" s="1"/>
  <c r="K62" i="1" s="1"/>
  <c r="E21" i="1"/>
  <c r="J21" i="1" s="1"/>
  <c r="W46" i="1"/>
  <c r="M45" i="1"/>
  <c r="M47" i="1"/>
  <c r="M32" i="1"/>
  <c r="I34" i="1"/>
  <c r="M46" i="1"/>
  <c r="L56" i="1"/>
  <c r="M48" i="1"/>
  <c r="W56" i="1"/>
  <c r="E59" i="1"/>
  <c r="J59" i="1" s="1"/>
  <c r="K59" i="1" s="1"/>
  <c r="L60" i="1"/>
  <c r="R32" i="1"/>
  <c r="W59" i="1"/>
  <c r="R51" i="1"/>
  <c r="X51" i="1" s="1"/>
  <c r="Y51" i="1" s="1"/>
  <c r="E58" i="1"/>
  <c r="J58" i="1" s="1"/>
  <c r="K58" i="1" s="1"/>
  <c r="I45" i="1"/>
  <c r="I60" i="1"/>
  <c r="I55" i="1"/>
  <c r="Z56" i="1"/>
  <c r="R49" i="1"/>
  <c r="AA62" i="1"/>
  <c r="E60" i="1"/>
  <c r="Z61" i="1"/>
  <c r="I47" i="1"/>
  <c r="J47" i="1" s="1"/>
  <c r="K47" i="1" s="1"/>
  <c r="AA45" i="1"/>
  <c r="W42" i="1"/>
  <c r="W35" i="1"/>
  <c r="M24" i="1"/>
  <c r="I52" i="1"/>
  <c r="J52" i="1" s="1"/>
  <c r="K52" i="1" s="1"/>
  <c r="Z59" i="1"/>
  <c r="Z50" i="1"/>
  <c r="Z46" i="1"/>
  <c r="L62" i="1"/>
  <c r="AA46" i="1"/>
  <c r="AA47" i="1"/>
  <c r="AA57" i="1"/>
  <c r="R52" i="1"/>
  <c r="X52" i="1" s="1"/>
  <c r="Y52" i="1" s="1"/>
  <c r="W49" i="1"/>
  <c r="I56" i="1"/>
  <c r="E53" i="1"/>
  <c r="E51" i="1"/>
  <c r="X62" i="1"/>
  <c r="Y62" i="1" s="1"/>
  <c r="R54" i="1"/>
  <c r="X54" i="1" s="1"/>
  <c r="Y54" i="1" s="1"/>
  <c r="W55" i="1"/>
  <c r="M33" i="1"/>
  <c r="M34" i="1"/>
  <c r="R57" i="1"/>
  <c r="AA49" i="1"/>
  <c r="R59" i="1"/>
  <c r="I49" i="1"/>
  <c r="M49" i="1"/>
  <c r="I57" i="1"/>
  <c r="J57" i="1" s="1"/>
  <c r="K57" i="1" s="1"/>
  <c r="Z60" i="1"/>
  <c r="E46" i="1"/>
  <c r="L46" i="1"/>
  <c r="L53" i="1"/>
  <c r="X58" i="1"/>
  <c r="Y58" i="1" s="1"/>
  <c r="Z47" i="1"/>
  <c r="R47" i="1"/>
  <c r="R56" i="1"/>
  <c r="Z49" i="1"/>
  <c r="AA55" i="1"/>
  <c r="W45" i="1"/>
  <c r="Z58" i="1"/>
  <c r="W61" i="1"/>
  <c r="W47" i="1"/>
  <c r="I46" i="1"/>
  <c r="I53" i="1"/>
  <c r="M53" i="1"/>
  <c r="I48" i="1"/>
  <c r="I51" i="1"/>
  <c r="AA52" i="1"/>
  <c r="AA60" i="1"/>
  <c r="E56" i="1"/>
  <c r="J56" i="1" s="1"/>
  <c r="K56" i="1" s="1"/>
  <c r="AA56" i="1"/>
  <c r="L54" i="1"/>
  <c r="R50" i="1"/>
  <c r="X50" i="1" s="1"/>
  <c r="Y50" i="1" s="1"/>
  <c r="L58" i="1"/>
  <c r="M60" i="1"/>
  <c r="Z62" i="1"/>
  <c r="AA48" i="1"/>
  <c r="J54" i="1"/>
  <c r="K54" i="1" s="1"/>
  <c r="AA59" i="1"/>
  <c r="E61" i="1"/>
  <c r="Z48" i="1"/>
  <c r="M44" i="1"/>
  <c r="M56" i="1"/>
  <c r="L51" i="1"/>
  <c r="Z53" i="1"/>
  <c r="R53" i="1"/>
  <c r="R55" i="1"/>
  <c r="R61" i="1"/>
  <c r="Z45" i="1"/>
  <c r="R45" i="1"/>
  <c r="M58" i="1"/>
  <c r="L47" i="1"/>
  <c r="M59" i="1"/>
  <c r="M54" i="1"/>
  <c r="L57" i="1"/>
  <c r="Z54" i="1"/>
  <c r="Z57" i="1"/>
  <c r="W57" i="1"/>
  <c r="X57" i="1" s="1"/>
  <c r="Y57" i="1" s="1"/>
  <c r="M52" i="1"/>
  <c r="M55" i="1"/>
  <c r="I50" i="1"/>
  <c r="I61" i="1"/>
  <c r="AA50" i="1"/>
  <c r="AA58" i="1"/>
  <c r="AA54" i="1"/>
  <c r="E49" i="1"/>
  <c r="E45" i="1"/>
  <c r="E55" i="1"/>
  <c r="R28" i="1"/>
  <c r="M26" i="1"/>
  <c r="M23" i="1"/>
  <c r="I33" i="1"/>
  <c r="L25" i="1"/>
  <c r="M25" i="1"/>
  <c r="M28" i="1"/>
  <c r="L26" i="1"/>
  <c r="L43" i="1"/>
  <c r="L34" i="1"/>
  <c r="L42" i="1"/>
  <c r="M29" i="1"/>
  <c r="AA38" i="1"/>
  <c r="M42" i="1"/>
  <c r="M40" i="1"/>
  <c r="Z34" i="1"/>
  <c r="M36" i="1"/>
  <c r="M31" i="1"/>
  <c r="M38" i="1"/>
  <c r="M43" i="1"/>
  <c r="W26" i="1"/>
  <c r="E27" i="1"/>
  <c r="E40" i="1"/>
  <c r="I43" i="1"/>
  <c r="I27" i="1"/>
  <c r="M27" i="1"/>
  <c r="W29" i="1"/>
  <c r="I37" i="1"/>
  <c r="M37" i="1"/>
  <c r="I35" i="1"/>
  <c r="I22" i="1"/>
  <c r="M22" i="1"/>
  <c r="R37" i="1"/>
  <c r="X37" i="1" s="1"/>
  <c r="Y37" i="1" s="1"/>
  <c r="R25" i="1"/>
  <c r="L24" i="1"/>
  <c r="AA27" i="1"/>
  <c r="R33" i="1"/>
  <c r="W43" i="1"/>
  <c r="X43" i="1" s="1"/>
  <c r="Y43" i="1" s="1"/>
  <c r="W41" i="1"/>
  <c r="I39" i="1"/>
  <c r="Z41" i="1"/>
  <c r="L44" i="1"/>
  <c r="L41" i="1"/>
  <c r="L27" i="1"/>
  <c r="L40" i="1"/>
  <c r="L33" i="1"/>
  <c r="L37" i="1"/>
  <c r="L29" i="1"/>
  <c r="L31" i="1"/>
  <c r="Z43" i="1"/>
  <c r="L21" i="1"/>
  <c r="L35" i="1"/>
  <c r="L32" i="1"/>
  <c r="I31" i="1"/>
  <c r="Z29" i="1"/>
  <c r="AA31" i="1"/>
  <c r="W25" i="1"/>
  <c r="L38" i="1"/>
  <c r="L36" i="1"/>
  <c r="L23" i="1"/>
  <c r="L30" i="1"/>
  <c r="L22" i="1"/>
  <c r="L39" i="1"/>
  <c r="AA40" i="1"/>
  <c r="L28" i="1"/>
  <c r="M21" i="1"/>
  <c r="I32" i="1"/>
  <c r="I44" i="1"/>
  <c r="R38" i="1"/>
  <c r="Z38" i="1"/>
  <c r="R24" i="1"/>
  <c r="X24" i="1" s="1"/>
  <c r="Y24" i="1" s="1"/>
  <c r="Z24" i="1"/>
  <c r="Z28" i="1"/>
  <c r="Z32" i="1"/>
  <c r="E32" i="1"/>
  <c r="Z35" i="1"/>
  <c r="Z44" i="1"/>
  <c r="R22" i="1"/>
  <c r="X22" i="1" s="1"/>
  <c r="Y22" i="1" s="1"/>
  <c r="Z22" i="1"/>
  <c r="Z23" i="1"/>
  <c r="W31" i="1"/>
  <c r="R21" i="1"/>
  <c r="Z21" i="1"/>
  <c r="Z39" i="1"/>
  <c r="Z42" i="1"/>
  <c r="W30" i="1"/>
  <c r="AA25" i="1"/>
  <c r="Z26" i="1"/>
  <c r="R40" i="1"/>
  <c r="Z40" i="1"/>
  <c r="Z31" i="1"/>
  <c r="I26" i="1"/>
  <c r="I23" i="1"/>
  <c r="Z37" i="1"/>
  <c r="Z30" i="1"/>
  <c r="Z25" i="1"/>
  <c r="Z33" i="1"/>
  <c r="Z36" i="1"/>
  <c r="Z27" i="1"/>
  <c r="AA33" i="1"/>
  <c r="AA23" i="1"/>
  <c r="W21" i="1"/>
  <c r="AA26" i="1"/>
  <c r="I28" i="1"/>
  <c r="R30" i="1"/>
  <c r="AA39" i="1"/>
  <c r="I38" i="1"/>
  <c r="AA42" i="1"/>
  <c r="W36" i="1"/>
  <c r="X36" i="1" s="1"/>
  <c r="Y36" i="1" s="1"/>
  <c r="AA36" i="1"/>
  <c r="AA22" i="1"/>
  <c r="AA24" i="1"/>
  <c r="W44" i="1"/>
  <c r="X44" i="1" s="1"/>
  <c r="Y44" i="1" s="1"/>
  <c r="AA44" i="1"/>
  <c r="I42" i="1"/>
  <c r="I40" i="1"/>
  <c r="AA29" i="1"/>
  <c r="R35" i="1"/>
  <c r="AA32" i="1"/>
  <c r="AA21" i="1"/>
  <c r="AA34" i="1"/>
  <c r="AA35" i="1"/>
  <c r="AA41" i="1"/>
  <c r="W33" i="1"/>
  <c r="W28" i="1"/>
  <c r="W38" i="1"/>
  <c r="J32" i="1"/>
  <c r="K32" i="1" s="1"/>
  <c r="R29" i="1"/>
  <c r="R34" i="1"/>
  <c r="I41" i="1"/>
  <c r="I24" i="1"/>
  <c r="E44" i="1"/>
  <c r="J44" i="1" s="1"/>
  <c r="K44" i="1" s="1"/>
  <c r="E28" i="1"/>
  <c r="R39" i="1"/>
  <c r="I29" i="1"/>
  <c r="W27" i="1"/>
  <c r="W34" i="1"/>
  <c r="R31" i="1"/>
  <c r="I30" i="1"/>
  <c r="I25" i="1"/>
  <c r="E23" i="1"/>
  <c r="W23" i="1"/>
  <c r="R41" i="1"/>
  <c r="W40" i="1"/>
  <c r="R42" i="1"/>
  <c r="W39" i="1"/>
  <c r="R23" i="1"/>
  <c r="E31" i="1"/>
  <c r="E43" i="1"/>
  <c r="E41" i="1"/>
  <c r="E22" i="1"/>
  <c r="E42" i="1"/>
  <c r="W32" i="1"/>
  <c r="E36" i="1"/>
  <c r="E39" i="1"/>
  <c r="E34" i="1"/>
  <c r="E30" i="1"/>
  <c r="R26" i="1"/>
  <c r="E26" i="1"/>
  <c r="E29" i="1"/>
  <c r="E38" i="1"/>
  <c r="E25" i="1"/>
  <c r="E33" i="1"/>
  <c r="E35" i="1"/>
  <c r="E37" i="1"/>
  <c r="E24" i="1"/>
  <c r="X42" i="1" l="1"/>
  <c r="Y42" i="1" s="1"/>
  <c r="X53" i="1"/>
  <c r="Y53" i="1" s="1"/>
  <c r="J48" i="1"/>
  <c r="K48" i="1" s="1"/>
  <c r="X27" i="1"/>
  <c r="Y27" i="1" s="1"/>
  <c r="X46" i="1"/>
  <c r="Y46" i="1" s="1"/>
  <c r="X32" i="1"/>
  <c r="Y32" i="1" s="1"/>
  <c r="J34" i="1"/>
  <c r="K34" i="1" s="1"/>
  <c r="J50" i="1"/>
  <c r="K50" i="1" s="1"/>
  <c r="J36" i="1"/>
  <c r="K36" i="1" s="1"/>
  <c r="X35" i="1"/>
  <c r="Y35" i="1" s="1"/>
  <c r="J45" i="1"/>
  <c r="K45" i="1" s="1"/>
  <c r="X55" i="1"/>
  <c r="Y55" i="1" s="1"/>
  <c r="X56" i="1"/>
  <c r="Y56" i="1" s="1"/>
  <c r="X48" i="1"/>
  <c r="Y48" i="1" s="1"/>
  <c r="J51" i="1"/>
  <c r="K51" i="1" s="1"/>
  <c r="X59" i="1"/>
  <c r="Y59" i="1" s="1"/>
  <c r="J55" i="1"/>
  <c r="K55" i="1" s="1"/>
  <c r="J60" i="1"/>
  <c r="K60" i="1" s="1"/>
  <c r="J46" i="1"/>
  <c r="K46" i="1" s="1"/>
  <c r="X28" i="1"/>
  <c r="Y28" i="1" s="1"/>
  <c r="X49" i="1"/>
  <c r="Y49" i="1" s="1"/>
  <c r="X45" i="1"/>
  <c r="Y45" i="1" s="1"/>
  <c r="J53" i="1"/>
  <c r="K53" i="1" s="1"/>
  <c r="J33" i="1"/>
  <c r="K33" i="1" s="1"/>
  <c r="J49" i="1"/>
  <c r="K49" i="1" s="1"/>
  <c r="X61" i="1"/>
  <c r="Y61" i="1" s="1"/>
  <c r="J61" i="1"/>
  <c r="K61" i="1" s="1"/>
  <c r="X47" i="1"/>
  <c r="Y47" i="1" s="1"/>
  <c r="X26" i="1"/>
  <c r="Y26" i="1" s="1"/>
  <c r="X25" i="1"/>
  <c r="Y25" i="1" s="1"/>
  <c r="J42" i="1"/>
  <c r="K42" i="1" s="1"/>
  <c r="X33" i="1"/>
  <c r="Y33" i="1" s="1"/>
  <c r="J22" i="1"/>
  <c r="K22" i="1" s="1"/>
  <c r="J27" i="1"/>
  <c r="K27" i="1" s="1"/>
  <c r="J39" i="1"/>
  <c r="K39" i="1" s="1"/>
  <c r="J37" i="1"/>
  <c r="K37" i="1" s="1"/>
  <c r="X30" i="1"/>
  <c r="Y30" i="1" s="1"/>
  <c r="J40" i="1"/>
  <c r="K40" i="1" s="1"/>
  <c r="J43" i="1"/>
  <c r="K43" i="1" s="1"/>
  <c r="X31" i="1"/>
  <c r="Y31" i="1" s="1"/>
  <c r="J23" i="1"/>
  <c r="K23" i="1" s="1"/>
  <c r="X34" i="1"/>
  <c r="Y34" i="1" s="1"/>
  <c r="K21" i="1"/>
  <c r="J31" i="1"/>
  <c r="K31" i="1" s="1"/>
  <c r="J35" i="1"/>
  <c r="K35" i="1" s="1"/>
  <c r="X38" i="1"/>
  <c r="Y38" i="1" s="1"/>
  <c r="X21" i="1"/>
  <c r="Y21" i="1" s="1"/>
  <c r="X40" i="1"/>
  <c r="Y40" i="1" s="1"/>
  <c r="X29" i="1"/>
  <c r="Y29" i="1" s="1"/>
  <c r="X41" i="1"/>
  <c r="Y41" i="1" s="1"/>
  <c r="J26" i="1"/>
  <c r="K26" i="1" s="1"/>
  <c r="J28" i="1"/>
  <c r="K28" i="1" s="1"/>
  <c r="J38" i="1"/>
  <c r="K38" i="1" s="1"/>
  <c r="J29" i="1"/>
  <c r="K29" i="1" s="1"/>
  <c r="X39" i="1"/>
  <c r="Y39" i="1" s="1"/>
  <c r="X23" i="1"/>
  <c r="Y23" i="1" s="1"/>
  <c r="J41" i="1"/>
  <c r="K41" i="1" s="1"/>
  <c r="J24" i="1"/>
  <c r="K24" i="1" s="1"/>
  <c r="J30" i="1"/>
  <c r="K30" i="1" s="1"/>
  <c r="J25" i="1"/>
  <c r="K25" i="1" s="1"/>
</calcChain>
</file>

<file path=xl/sharedStrings.xml><?xml version="1.0" encoding="utf-8"?>
<sst xmlns="http://schemas.openxmlformats.org/spreadsheetml/2006/main" count="110" uniqueCount="78">
  <si>
    <t>n</t>
  </si>
  <si>
    <t>Q</t>
  </si>
  <si>
    <t>A</t>
  </si>
  <si>
    <t>p</t>
  </si>
  <si>
    <t>R</t>
  </si>
  <si>
    <t>logA</t>
  </si>
  <si>
    <t>T</t>
  </si>
  <si>
    <t>TC</t>
  </si>
  <si>
    <t>TK</t>
  </si>
  <si>
    <t>Arrhenius</t>
  </si>
  <si>
    <t>d(mm)</t>
  </si>
  <si>
    <t>d(m)</t>
  </si>
  <si>
    <t>Rates</t>
  </si>
  <si>
    <t>Fan_GSS1</t>
  </si>
  <si>
    <t>Fan_GSS2</t>
  </si>
  <si>
    <t>Fan_GSI</t>
  </si>
  <si>
    <t>Fan_tot</t>
  </si>
  <si>
    <t>D</t>
  </si>
  <si>
    <t>G+K_GBS_cold</t>
  </si>
  <si>
    <t>G+K_Dis_cold</t>
  </si>
  <si>
    <t>G&amp;K_tot_cold</t>
  </si>
  <si>
    <t>D2</t>
  </si>
  <si>
    <t>Rate ratio Fan</t>
  </si>
  <si>
    <t>Rate ratio G&amp;K</t>
  </si>
  <si>
    <t>Expected rate ratio</t>
  </si>
  <si>
    <t>Easy_enhance</t>
  </si>
  <si>
    <t>easy?</t>
  </si>
  <si>
    <t>if zero no enhancement for easy slip</t>
  </si>
  <si>
    <t>enhancement factor for easy slip (add to log)</t>
  </si>
  <si>
    <t>GSI/GSS Coarse</t>
  </si>
  <si>
    <t>GSI/GSS Fine</t>
  </si>
  <si>
    <t>Kuiper has 0.07 for 2570 m: Linear so at 2000m</t>
  </si>
  <si>
    <t>Mpa</t>
  </si>
  <si>
    <t>need to enhance the disloc creep to get these values</t>
  </si>
  <si>
    <t>Note a values used for octahedral stresses and strain rates</t>
  </si>
  <si>
    <t>dfference</t>
  </si>
  <si>
    <t>RATE RATIO from SHEAR STRAIN RATE DATA</t>
  </si>
  <si>
    <t>enhancement ~ 1 order magnitude</t>
  </si>
  <si>
    <t>change to 1 to add enhancement</t>
  </si>
  <si>
    <t>stresses for observed rate ratio without enhancement</t>
  </si>
  <si>
    <t>Stress for correct ratio Fan et al with enhancement</t>
  </si>
  <si>
    <t>Stress for correct ratio G&amp;K with enhancement</t>
  </si>
  <si>
    <t>Total strain rate Coarse layer</t>
  </si>
  <si>
    <t>Total strain rate Fine layer</t>
  </si>
  <si>
    <t>from strain rate data</t>
  </si>
  <si>
    <t>Look for conditionally coloured cells in columns K and Y</t>
  </si>
  <si>
    <t>Probe length</t>
  </si>
  <si>
    <t>Strain rate</t>
  </si>
  <si>
    <t>Velocity change over probe length (m/s)</t>
  </si>
  <si>
    <t>Velocity change over probe length (m/yr)</t>
  </si>
  <si>
    <t>Velocity change over probe length (mm/yr)</t>
  </si>
  <si>
    <t>Inclination change degrees/yr</t>
  </si>
  <si>
    <t>Inclination change degrees/s</t>
  </si>
  <si>
    <t>Velocity change over probe length (mm/ in 9 years</t>
  </si>
  <si>
    <t>Inclination change degrees in 9 yrs</t>
  </si>
  <si>
    <t>consistency check</t>
  </si>
  <si>
    <t>Inclination Error</t>
  </si>
  <si>
    <t>degree</t>
  </si>
  <si>
    <t>m</t>
  </si>
  <si>
    <t>Min inclination change</t>
  </si>
  <si>
    <t>Max incination change</t>
  </si>
  <si>
    <t>over 1 year</t>
  </si>
  <si>
    <t>over 9 years</t>
  </si>
  <si>
    <t>Min Strain rate</t>
  </si>
  <si>
    <t>Max strain rate</t>
  </si>
  <si>
    <t>Min as %  error of strain rate</t>
  </si>
  <si>
    <t>Max as % error of strain rate</t>
  </si>
  <si>
    <t>Fine</t>
  </si>
  <si>
    <t>Coarse</t>
  </si>
  <si>
    <t>Log Rates</t>
  </si>
  <si>
    <t>Log (d)</t>
  </si>
  <si>
    <t>p value</t>
  </si>
  <si>
    <t>Grain area (mm2)</t>
  </si>
  <si>
    <t>Grain diameter (d mm)</t>
  </si>
  <si>
    <t>Rates (/s)</t>
  </si>
  <si>
    <t>Stress (Mpa)</t>
  </si>
  <si>
    <t>Areas (mm2)</t>
  </si>
  <si>
    <t>D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</si>
</sst>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E+00"/>
    <numFmt numFmtId="165" formatCode="0.000"/>
  </numFmts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1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2" fontId="0" fillId="0" borderId="0" xfId="0" applyNumberFormat="1"/>
    <xf numFmtId="0" fontId="0" fillId="2" borderId="0" xfId="0" applyFill="1" applyAlignment="1">
      <alignment horizontal="center" wrapText="1"/>
    </xf>
    <xf numFmtId="2" fontId="0" fillId="2" borderId="0" xfId="0" applyNumberFormat="1" applyFill="1" applyAlignment="1">
      <alignment horizontal="center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center"/>
    </xf>
    <xf numFmtId="0" fontId="0" fillId="3" borderId="0" xfId="0" applyFill="1"/>
    <xf numFmtId="2" fontId="0" fillId="3" borderId="0" xfId="0" applyNumberFormat="1" applyFill="1" applyAlignment="1">
      <alignment horizontal="center"/>
    </xf>
    <xf numFmtId="0" fontId="0" fillId="4" borderId="0" xfId="0" applyFill="1"/>
    <xf numFmtId="2" fontId="0" fillId="4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0" fontId="0" fillId="5" borderId="0" xfId="0" applyFill="1"/>
    <xf numFmtId="165" fontId="3" fillId="6" borderId="0" xfId="0" applyNumberFormat="1" applyFont="1" applyFill="1" applyAlignment="1">
      <alignment horizontal="center"/>
    </xf>
    <xf numFmtId="0" fontId="3" fillId="6" borderId="0" xfId="0" applyFont="1" applyFill="1"/>
    <xf numFmtId="165" fontId="2" fillId="6" borderId="0" xfId="0" applyNumberFormat="1" applyFont="1" applyFill="1" applyAlignment="1">
      <alignment horizontal="center"/>
    </xf>
    <xf numFmtId="0" fontId="2" fillId="6" borderId="0" xfId="0" applyFont="1" applyFill="1"/>
    <xf numFmtId="165" fontId="1" fillId="7" borderId="0" xfId="0" applyNumberFormat="1" applyFont="1" applyFill="1" applyAlignment="1">
      <alignment horizontal="center"/>
    </xf>
    <xf numFmtId="0" fontId="1" fillId="7" borderId="0" xfId="0" applyFont="1" applyFill="1"/>
    <xf numFmtId="2" fontId="0" fillId="0" borderId="1" xfId="0" applyNumberFormat="1" applyBorder="1" applyAlignment="1">
      <alignment horizontal="center"/>
    </xf>
    <xf numFmtId="11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2" xfId="0" applyBorder="1" applyAlignment="1">
      <alignment horizontal="center" wrapText="1"/>
    </xf>
    <xf numFmtId="2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0" fillId="3" borderId="4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0" borderId="2" xfId="0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2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Rate Ratio Fan et al 2025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'Composite Rheology Calcs'!$A$21:$A$44</c:f>
              <c:numCache>
                <c:formatCode>0.000</c:formatCode>
                <c:ptCount val="24"/>
                <c:pt idx="0">
                  <c:v>5.0000000000000001E-3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0.02</c:v>
                </c:pt>
                <c:pt idx="4">
                  <c:v>2.5000000000000001E-2</c:v>
                </c:pt>
                <c:pt idx="5">
                  <c:v>0.03</c:v>
                </c:pt>
                <c:pt idx="6">
                  <c:v>3.5000000000000003E-2</c:v>
                </c:pt>
                <c:pt idx="7">
                  <c:v>0.04</c:v>
                </c:pt>
                <c:pt idx="8">
                  <c:v>4.4999999999999998E-2</c:v>
                </c:pt>
                <c:pt idx="9">
                  <c:v>0.05</c:v>
                </c:pt>
                <c:pt idx="10">
                  <c:v>5.5E-2</c:v>
                </c:pt>
                <c:pt idx="11">
                  <c:v>0.06</c:v>
                </c:pt>
                <c:pt idx="12">
                  <c:v>6.5000000000000002E-2</c:v>
                </c:pt>
                <c:pt idx="13">
                  <c:v>7.0000000000000007E-2</c:v>
                </c:pt>
                <c:pt idx="14">
                  <c:v>7.4999999999999997E-2</c:v>
                </c:pt>
                <c:pt idx="15">
                  <c:v>0.08</c:v>
                </c:pt>
                <c:pt idx="16">
                  <c:v>8.5000000000000006E-2</c:v>
                </c:pt>
                <c:pt idx="17">
                  <c:v>0.09</c:v>
                </c:pt>
                <c:pt idx="18">
                  <c:v>9.5000000000000001E-2</c:v>
                </c:pt>
                <c:pt idx="19">
                  <c:v>0.1</c:v>
                </c:pt>
                <c:pt idx="20">
                  <c:v>0.105</c:v>
                </c:pt>
                <c:pt idx="21">
                  <c:v>0.11</c:v>
                </c:pt>
                <c:pt idx="22">
                  <c:v>0.115</c:v>
                </c:pt>
                <c:pt idx="23">
                  <c:v>0.12</c:v>
                </c:pt>
              </c:numCache>
            </c:numRef>
          </c:xVal>
          <c:yVal>
            <c:numRef>
              <c:f>'Composite Rheology Calcs'!$J$21:$J$44</c:f>
              <c:numCache>
                <c:formatCode>0.00</c:formatCode>
                <c:ptCount val="24"/>
                <c:pt idx="0">
                  <c:v>2.1522696035419333</c:v>
                </c:pt>
                <c:pt idx="1">
                  <c:v>2.1332680198567657</c:v>
                </c:pt>
                <c:pt idx="2">
                  <c:v>2.0998827290637139</c:v>
                </c:pt>
                <c:pt idx="3">
                  <c:v>2.0534474951250896</c:v>
                </c:pt>
                <c:pt idx="4">
                  <c:v>1.9965821817907849</c:v>
                </c:pt>
                <c:pt idx="5">
                  <c:v>1.9325475711026106</c:v>
                </c:pt>
                <c:pt idx="6">
                  <c:v>1.8646633701592426</c:v>
                </c:pt>
                <c:pt idx="7">
                  <c:v>1.7958779960839117</c:v>
                </c:pt>
                <c:pt idx="8">
                  <c:v>1.7285322862163164</c:v>
                </c:pt>
                <c:pt idx="9">
                  <c:v>1.6642962329131803</c:v>
                </c:pt>
                <c:pt idx="10">
                  <c:v>1.6042234534733044</c:v>
                </c:pt>
                <c:pt idx="11">
                  <c:v>1.5488648586724185</c:v>
                </c:pt>
                <c:pt idx="12">
                  <c:v>1.4983972551121714</c:v>
                </c:pt>
                <c:pt idx="13">
                  <c:v>1.4527408722858939</c:v>
                </c:pt>
                <c:pt idx="14">
                  <c:v>1.411654600117336</c:v>
                </c:pt>
                <c:pt idx="15">
                  <c:v>1.3748070481476815</c:v>
                </c:pt>
                <c:pt idx="16">
                  <c:v>1.3418262163008914</c:v>
                </c:pt>
                <c:pt idx="17">
                  <c:v>1.3123322090138418</c:v>
                </c:pt>
                <c:pt idx="18">
                  <c:v>1.2859574358350963</c:v>
                </c:pt>
                <c:pt idx="19">
                  <c:v>1.2623580577028866</c:v>
                </c:pt>
                <c:pt idx="20">
                  <c:v>1.2412195788302738</c:v>
                </c:pt>
                <c:pt idx="21">
                  <c:v>1.2222586914834606</c:v>
                </c:pt>
                <c:pt idx="22">
                  <c:v>1.2052228398417695</c:v>
                </c:pt>
                <c:pt idx="23">
                  <c:v>1.189888487765707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A8-3B41-A357-D7DAB8E277D6}"/>
            </c:ext>
          </c:extLst>
        </c:ser>
        <c:ser>
          <c:idx val="1"/>
          <c:order val="1"/>
          <c:tx>
            <c:v>Rate Ratio G&amp;K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'Composite Rheology Calcs'!$A$21:$A$44</c:f>
              <c:numCache>
                <c:formatCode>0.000</c:formatCode>
                <c:ptCount val="24"/>
                <c:pt idx="0">
                  <c:v>5.0000000000000001E-3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0.02</c:v>
                </c:pt>
                <c:pt idx="4">
                  <c:v>2.5000000000000001E-2</c:v>
                </c:pt>
                <c:pt idx="5">
                  <c:v>0.03</c:v>
                </c:pt>
                <c:pt idx="6">
                  <c:v>3.5000000000000003E-2</c:v>
                </c:pt>
                <c:pt idx="7">
                  <c:v>0.04</c:v>
                </c:pt>
                <c:pt idx="8">
                  <c:v>4.4999999999999998E-2</c:v>
                </c:pt>
                <c:pt idx="9">
                  <c:v>0.05</c:v>
                </c:pt>
                <c:pt idx="10">
                  <c:v>5.5E-2</c:v>
                </c:pt>
                <c:pt idx="11">
                  <c:v>0.06</c:v>
                </c:pt>
                <c:pt idx="12">
                  <c:v>6.5000000000000002E-2</c:v>
                </c:pt>
                <c:pt idx="13">
                  <c:v>7.0000000000000007E-2</c:v>
                </c:pt>
                <c:pt idx="14">
                  <c:v>7.4999999999999997E-2</c:v>
                </c:pt>
                <c:pt idx="15">
                  <c:v>0.08</c:v>
                </c:pt>
                <c:pt idx="16">
                  <c:v>8.5000000000000006E-2</c:v>
                </c:pt>
                <c:pt idx="17">
                  <c:v>0.09</c:v>
                </c:pt>
                <c:pt idx="18">
                  <c:v>9.5000000000000001E-2</c:v>
                </c:pt>
                <c:pt idx="19">
                  <c:v>0.1</c:v>
                </c:pt>
                <c:pt idx="20">
                  <c:v>0.105</c:v>
                </c:pt>
                <c:pt idx="21">
                  <c:v>0.11</c:v>
                </c:pt>
                <c:pt idx="22">
                  <c:v>0.115</c:v>
                </c:pt>
                <c:pt idx="23">
                  <c:v>0.12</c:v>
                </c:pt>
              </c:numCache>
            </c:numRef>
          </c:xVal>
          <c:yVal>
            <c:numRef>
              <c:f>'Composite Rheology Calcs'!$X$21:$X$44</c:f>
              <c:numCache>
                <c:formatCode>0.00</c:formatCode>
                <c:ptCount val="24"/>
                <c:pt idx="0">
                  <c:v>1.9201415732280778</c:v>
                </c:pt>
                <c:pt idx="1">
                  <c:v>1.8850767470586702</c:v>
                </c:pt>
                <c:pt idx="2">
                  <c:v>1.8383120739664074</c:v>
                </c:pt>
                <c:pt idx="3">
                  <c:v>1.7854621765532499</c:v>
                </c:pt>
                <c:pt idx="4">
                  <c:v>1.7304780369090056</c:v>
                </c:pt>
                <c:pt idx="5">
                  <c:v>1.6760458903249269</c:v>
                </c:pt>
                <c:pt idx="6">
                  <c:v>1.6238662080331965</c:v>
                </c:pt>
                <c:pt idx="7">
                  <c:v>1.5749099161764488</c:v>
                </c:pt>
                <c:pt idx="8">
                  <c:v>1.5296386150744772</c:v>
                </c:pt>
                <c:pt idx="9">
                  <c:v>1.4881780152262569</c:v>
                </c:pt>
                <c:pt idx="10">
                  <c:v>1.4504453406859694</c:v>
                </c:pt>
                <c:pt idx="11">
                  <c:v>1.4162379792661972</c:v>
                </c:pt>
                <c:pt idx="12">
                  <c:v>1.385292453289005</c:v>
                </c:pt>
                <c:pt idx="13">
                  <c:v>1.3573220377391568</c:v>
                </c:pt>
                <c:pt idx="14">
                  <c:v>1.3320396872815432</c:v>
                </c:pt>
                <c:pt idx="15">
                  <c:v>1.3091712009697238</c:v>
                </c:pt>
                <c:pt idx="16">
                  <c:v>1.2884620935781568</c:v>
                </c:pt>
                <c:pt idx="17">
                  <c:v>1.2696805313628887</c:v>
                </c:pt>
                <c:pt idx="18">
                  <c:v>1.2526178930090066</c:v>
                </c:pt>
                <c:pt idx="19">
                  <c:v>1.2370879661867005</c:v>
                </c:pt>
                <c:pt idx="20">
                  <c:v>1.2229254200867261</c:v>
                </c:pt>
                <c:pt idx="21">
                  <c:v>1.2099839503752445</c:v>
                </c:pt>
                <c:pt idx="22">
                  <c:v>1.1981343348242126</c:v>
                </c:pt>
                <c:pt idx="23">
                  <c:v>1.1872625368412353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A8-3B41-A357-D7DAB8E27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95023"/>
        <c:axId val="206297295"/>
      </c:scatterChart>
      <c:valAx>
        <c:axId val="206295023"/>
        <c:scaling>
          <c:orientation val="minMax"/>
          <c:max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Octahedral 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297295"/>
        <c:crosses val="autoZero"/>
        <c:crossBetween val="midCat"/>
      </c:valAx>
      <c:valAx>
        <c:axId val="206297295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Ratio of shear strain rates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295023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265C858-7141-2B41-85D1-B0B6D3C7F282}">
  <sheetPr/>
  <sheetViews>
    <sheetView zoomScale="12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3008" cy="607122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5BBCDE-7588-7685-BEAD-7169172BE5D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AAF17-8279-184C-9A0B-F2E90383EAF9}">
  <dimension ref="A3:G12"/>
  <sheetViews>
    <sheetView workbookViewId="0">
      <selection activeCell="A12" sqref="A12"/>
    </sheetView>
  </sheetViews>
  <sheetFormatPr baseColWidth="10" defaultRowHeight="16" x14ac:dyDescent="0.2"/>
  <cols>
    <col min="1" max="1" width="19.83203125" customWidth="1"/>
    <col min="2" max="7" width="10.83203125" style="1"/>
  </cols>
  <sheetData>
    <row r="3" spans="1:5" x14ac:dyDescent="0.2">
      <c r="B3" s="1" t="s">
        <v>67</v>
      </c>
      <c r="C3" s="1" t="s">
        <v>68</v>
      </c>
    </row>
    <row r="4" spans="1:5" x14ac:dyDescent="0.2">
      <c r="A4" t="s">
        <v>74</v>
      </c>
      <c r="B4" s="3">
        <v>2.8000000000000002E-10</v>
      </c>
      <c r="C4" s="3">
        <v>1.8E-10</v>
      </c>
    </row>
    <row r="5" spans="1:5" x14ac:dyDescent="0.2">
      <c r="A5" t="s">
        <v>69</v>
      </c>
      <c r="B5" s="4">
        <f>LOG(B4)</f>
        <v>-9.5528419686577806</v>
      </c>
      <c r="C5" s="4">
        <f>LOG(C4)</f>
        <v>-9.7447274948966935</v>
      </c>
      <c r="E5" s="4">
        <f>C5-B5</f>
        <v>-0.19188552623891297</v>
      </c>
    </row>
    <row r="6" spans="1:5" x14ac:dyDescent="0.2">
      <c r="B6" s="4"/>
      <c r="C6" s="4"/>
    </row>
    <row r="7" spans="1:5" x14ac:dyDescent="0.2">
      <c r="A7" t="s">
        <v>72</v>
      </c>
      <c r="B7" s="4">
        <v>1</v>
      </c>
      <c r="C7" s="4">
        <v>3</v>
      </c>
    </row>
    <row r="8" spans="1:5" x14ac:dyDescent="0.2">
      <c r="A8" t="s">
        <v>73</v>
      </c>
      <c r="B8" s="4">
        <f>B7^0.5</f>
        <v>1</v>
      </c>
      <c r="C8" s="4">
        <f>C7^0.5</f>
        <v>1.7320508075688772</v>
      </c>
    </row>
    <row r="9" spans="1:5" x14ac:dyDescent="0.2">
      <c r="A9" t="s">
        <v>70</v>
      </c>
      <c r="B9" s="4">
        <f>LOG(B8)</f>
        <v>0</v>
      </c>
      <c r="C9" s="4">
        <f>LOG(C8)</f>
        <v>0.23856062735983119</v>
      </c>
      <c r="E9" s="4">
        <f>B9-C9</f>
        <v>-0.23856062735983119</v>
      </c>
    </row>
    <row r="12" spans="1:5" x14ac:dyDescent="0.2">
      <c r="D12" s="1" t="s">
        <v>71</v>
      </c>
      <c r="E12" s="4">
        <f>E5/E9</f>
        <v>0.80434700546575877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E5C9E-FC8F-C343-84B3-1F6E0C3C33EB}">
  <dimension ref="A1:AC62"/>
  <sheetViews>
    <sheetView tabSelected="1" zoomScale="85" zoomScaleNormal="113" workbookViewId="0">
      <pane xSplit="1" ySplit="20" topLeftCell="B24" activePane="bottomRight" state="frozen"/>
      <selection pane="topRight" activeCell="B1" sqref="B1"/>
      <selection pane="bottomLeft" activeCell="A21" sqref="A21"/>
      <selection pane="bottomRight" activeCell="D10" sqref="D10"/>
    </sheetView>
  </sheetViews>
  <sheetFormatPr baseColWidth="10" defaultRowHeight="16" x14ac:dyDescent="0.2"/>
  <cols>
    <col min="1" max="1" width="13.33203125" style="1" customWidth="1"/>
    <col min="2" max="2" width="10.83203125" style="1"/>
    <col min="3" max="4" width="10" customWidth="1"/>
    <col min="5" max="5" width="10" style="1" customWidth="1"/>
    <col min="6" max="6" width="3.1640625" style="1" customWidth="1"/>
    <col min="7" max="8" width="10" customWidth="1"/>
    <col min="9" max="9" width="10" style="1" customWidth="1"/>
    <col min="10" max="13" width="7.6640625" style="1" customWidth="1"/>
    <col min="14" max="14" width="4.5" customWidth="1"/>
    <col min="15" max="17" width="10" style="1" customWidth="1"/>
    <col min="18" max="18" width="10.83203125" style="1"/>
    <col min="19" max="19" width="3.1640625" customWidth="1"/>
    <col min="20" max="22" width="10" style="1" customWidth="1"/>
    <col min="23" max="23" width="10.83203125" style="1"/>
    <col min="24" max="27" width="7.6640625" style="1" customWidth="1"/>
    <col min="28" max="28" width="3.33203125" customWidth="1"/>
    <col min="29" max="29" width="54" customWidth="1"/>
  </cols>
  <sheetData>
    <row r="1" spans="1:29" x14ac:dyDescent="0.2">
      <c r="A1" s="1" t="s">
        <v>4</v>
      </c>
      <c r="B1" s="1">
        <v>8.3140000000000002E-3</v>
      </c>
    </row>
    <row r="2" spans="1:29" x14ac:dyDescent="0.2">
      <c r="A2" s="1" t="s">
        <v>6</v>
      </c>
      <c r="B2" s="1">
        <v>-18</v>
      </c>
      <c r="C2" t="s">
        <v>76</v>
      </c>
      <c r="D2" t="s">
        <v>77</v>
      </c>
      <c r="H2" t="s">
        <v>34</v>
      </c>
    </row>
    <row r="3" spans="1:29" x14ac:dyDescent="0.2">
      <c r="A3" s="1" t="s">
        <v>17</v>
      </c>
      <c r="B3" s="4">
        <f>D3</f>
        <v>1</v>
      </c>
      <c r="C3">
        <v>1</v>
      </c>
      <c r="D3" s="9">
        <f>C3^0.5</f>
        <v>1</v>
      </c>
      <c r="H3" s="9" t="s">
        <v>31</v>
      </c>
    </row>
    <row r="4" spans="1:29" x14ac:dyDescent="0.2">
      <c r="A4" s="1" t="s">
        <v>21</v>
      </c>
      <c r="B4" s="4">
        <f>D4</f>
        <v>1.7320508075688772</v>
      </c>
      <c r="C4">
        <v>3</v>
      </c>
      <c r="D4" s="9">
        <f>C4^0.5</f>
        <v>1.7320508075688772</v>
      </c>
      <c r="H4" s="9">
        <f>2000/2570*0.07</f>
        <v>5.4474708171206233E-2</v>
      </c>
      <c r="I4" s="1" t="s">
        <v>32</v>
      </c>
      <c r="J4" s="12"/>
      <c r="K4" s="12"/>
      <c r="L4" s="12" t="s">
        <v>33</v>
      </c>
    </row>
    <row r="5" spans="1:29" x14ac:dyDescent="0.2">
      <c r="A5" s="1" t="s">
        <v>26</v>
      </c>
      <c r="B5" s="18">
        <v>1</v>
      </c>
      <c r="C5" t="s">
        <v>27</v>
      </c>
      <c r="D5" s="9"/>
      <c r="H5" s="9"/>
      <c r="K5" s="35" t="s">
        <v>45</v>
      </c>
      <c r="L5" s="35"/>
      <c r="M5" s="35"/>
      <c r="N5" s="35"/>
      <c r="O5" s="35"/>
      <c r="P5" s="35"/>
      <c r="AC5" s="19" t="s">
        <v>38</v>
      </c>
    </row>
    <row r="6" spans="1:29" x14ac:dyDescent="0.2">
      <c r="A6" s="1" t="s">
        <v>25</v>
      </c>
      <c r="B6" s="17">
        <v>1</v>
      </c>
      <c r="C6" t="s">
        <v>28</v>
      </c>
      <c r="D6" s="9"/>
      <c r="H6" s="9"/>
      <c r="AC6" s="16" t="s">
        <v>37</v>
      </c>
    </row>
    <row r="7" spans="1:29" s="8" customFormat="1" ht="34" x14ac:dyDescent="0.2">
      <c r="A7" s="7"/>
      <c r="B7" s="7"/>
      <c r="C7" s="7" t="s">
        <v>18</v>
      </c>
      <c r="D7" s="7" t="s">
        <v>19</v>
      </c>
      <c r="E7" s="7"/>
      <c r="F7" s="7"/>
      <c r="G7" s="7" t="s">
        <v>18</v>
      </c>
      <c r="H7" s="7" t="s">
        <v>19</v>
      </c>
      <c r="I7" s="7"/>
      <c r="J7" s="7"/>
      <c r="K7" s="7"/>
      <c r="L7" s="7"/>
      <c r="M7" s="7"/>
      <c r="O7" s="7" t="s">
        <v>13</v>
      </c>
      <c r="P7" s="7" t="s">
        <v>14</v>
      </c>
      <c r="Q7" s="7" t="s">
        <v>15</v>
      </c>
      <c r="R7" s="7"/>
      <c r="T7" s="7" t="s">
        <v>13</v>
      </c>
      <c r="U7" s="7" t="s">
        <v>14</v>
      </c>
      <c r="V7" s="7" t="s">
        <v>15</v>
      </c>
      <c r="W7" s="7"/>
      <c r="X7" s="7"/>
      <c r="Y7" s="7"/>
      <c r="Z7" s="7"/>
      <c r="AA7" s="7"/>
    </row>
    <row r="8" spans="1:29" x14ac:dyDescent="0.2">
      <c r="A8" s="1" t="s">
        <v>0</v>
      </c>
      <c r="C8" s="1">
        <v>1.8</v>
      </c>
      <c r="D8" s="1">
        <v>4</v>
      </c>
      <c r="G8" s="1">
        <v>1.8</v>
      </c>
      <c r="H8" s="1">
        <v>4</v>
      </c>
      <c r="O8" s="1">
        <v>2.5</v>
      </c>
      <c r="P8" s="1">
        <v>1.9</v>
      </c>
      <c r="Q8" s="1">
        <v>3.6</v>
      </c>
      <c r="T8" s="1">
        <v>2.5</v>
      </c>
      <c r="U8" s="1">
        <v>1.9</v>
      </c>
      <c r="V8" s="1">
        <v>3.6</v>
      </c>
    </row>
    <row r="9" spans="1:29" x14ac:dyDescent="0.2">
      <c r="A9" s="1" t="s">
        <v>1</v>
      </c>
      <c r="C9" s="1">
        <v>70</v>
      </c>
      <c r="D9" s="1">
        <v>64</v>
      </c>
      <c r="G9" s="1">
        <v>70</v>
      </c>
      <c r="H9" s="1">
        <v>64</v>
      </c>
      <c r="O9" s="1">
        <v>182</v>
      </c>
      <c r="P9" s="1">
        <v>52</v>
      </c>
      <c r="Q9" s="1">
        <v>62</v>
      </c>
      <c r="T9" s="1">
        <v>182</v>
      </c>
      <c r="U9" s="1">
        <v>52</v>
      </c>
      <c r="V9" s="1">
        <v>62</v>
      </c>
    </row>
    <row r="10" spans="1:29" x14ac:dyDescent="0.2">
      <c r="A10" s="1" t="s">
        <v>5</v>
      </c>
      <c r="C10" s="1">
        <v>2.48</v>
      </c>
      <c r="D10" s="1">
        <f>IF(easy?=0,6.85,6.85+Easy_enhance)</f>
        <v>7.85</v>
      </c>
      <c r="G10" s="1">
        <v>2.48</v>
      </c>
      <c r="H10" s="1">
        <f>IF(easy?=0,6.85,6.85+Easy_enhance)</f>
        <v>7.85</v>
      </c>
      <c r="O10" s="1">
        <v>23.33</v>
      </c>
      <c r="P10" s="1">
        <v>-0.46</v>
      </c>
      <c r="Q10" s="1">
        <f>IF(easy?=0,6.1,6.1+Easy_enhance)</f>
        <v>7.1</v>
      </c>
      <c r="T10" s="1">
        <v>23.33</v>
      </c>
      <c r="U10" s="1">
        <v>-0.46</v>
      </c>
      <c r="V10" s="1">
        <f>IF(easy?=0,6.1,6.1+Easy_enhance)</f>
        <v>7.1</v>
      </c>
    </row>
    <row r="11" spans="1:29" x14ac:dyDescent="0.2">
      <c r="A11" s="1" t="s">
        <v>2</v>
      </c>
      <c r="C11" s="3">
        <f>10^C10</f>
        <v>301.99517204020168</v>
      </c>
      <c r="D11" s="3">
        <f>10^D10</f>
        <v>70794578.438413769</v>
      </c>
      <c r="G11" s="3">
        <f>10^G10</f>
        <v>301.99517204020168</v>
      </c>
      <c r="H11" s="3">
        <f>10^H10</f>
        <v>70794578.438413769</v>
      </c>
      <c r="O11" s="3">
        <f>10^O10</f>
        <v>2.1379620895022418E+23</v>
      </c>
      <c r="P11" s="3">
        <f>10^P10</f>
        <v>0.34673685045253166</v>
      </c>
      <c r="Q11" s="3">
        <f>10^Q10</f>
        <v>12589254.117941668</v>
      </c>
      <c r="T11" s="3">
        <f>10^T10</f>
        <v>2.1379620895022418E+23</v>
      </c>
      <c r="U11" s="3">
        <f>10^U10</f>
        <v>0.34673685045253166</v>
      </c>
      <c r="V11" s="3">
        <f>10^V10</f>
        <v>12589254.117941668</v>
      </c>
    </row>
    <row r="12" spans="1:29" x14ac:dyDescent="0.2">
      <c r="A12" s="1" t="s">
        <v>10</v>
      </c>
      <c r="C12" s="4">
        <f>D</f>
        <v>1</v>
      </c>
      <c r="D12" s="4">
        <f>D</f>
        <v>1</v>
      </c>
      <c r="E12" s="26">
        <f>D</f>
        <v>1</v>
      </c>
      <c r="F12" s="4"/>
      <c r="G12" s="4">
        <f>D2_</f>
        <v>1.7320508075688772</v>
      </c>
      <c r="H12" s="4">
        <f>D2_</f>
        <v>1.7320508075688772</v>
      </c>
      <c r="I12" s="26">
        <f>D2_</f>
        <v>1.7320508075688772</v>
      </c>
      <c r="J12" s="4"/>
      <c r="K12" s="4"/>
      <c r="L12" s="4"/>
      <c r="M12" s="4"/>
      <c r="N12" s="4"/>
      <c r="O12" s="4">
        <f>D</f>
        <v>1</v>
      </c>
      <c r="P12" s="4">
        <f>D</f>
        <v>1</v>
      </c>
      <c r="Q12" s="4">
        <f>D</f>
        <v>1</v>
      </c>
      <c r="R12" s="26">
        <f>D</f>
        <v>1</v>
      </c>
      <c r="T12" s="4">
        <f>D2_</f>
        <v>1.7320508075688772</v>
      </c>
      <c r="U12" s="4">
        <f>D2_</f>
        <v>1.7320508075688772</v>
      </c>
      <c r="V12" s="4">
        <f>D2_</f>
        <v>1.7320508075688772</v>
      </c>
      <c r="W12" s="26">
        <f>D2_</f>
        <v>1.7320508075688772</v>
      </c>
    </row>
    <row r="13" spans="1:29" x14ac:dyDescent="0.2">
      <c r="A13" s="1" t="s">
        <v>11</v>
      </c>
      <c r="C13" s="3">
        <f>C12/1000</f>
        <v>1E-3</v>
      </c>
      <c r="D13" s="3">
        <f>D12/1000</f>
        <v>1E-3</v>
      </c>
      <c r="E13" s="27"/>
      <c r="F13" s="3"/>
      <c r="G13" s="3">
        <f>G12/1000</f>
        <v>1.7320508075688772E-3</v>
      </c>
      <c r="H13" s="3">
        <f>H12/1000</f>
        <v>1.7320508075688772E-3</v>
      </c>
      <c r="I13" s="27"/>
      <c r="J13" s="3"/>
      <c r="K13" s="3"/>
      <c r="L13" s="3"/>
      <c r="M13" s="3"/>
      <c r="N13" s="2"/>
      <c r="O13" s="3">
        <f>O12/1000</f>
        <v>1E-3</v>
      </c>
      <c r="P13" s="3">
        <f>P12/1000</f>
        <v>1E-3</v>
      </c>
      <c r="Q13" s="3">
        <f>Q12/1000</f>
        <v>1E-3</v>
      </c>
      <c r="R13" s="28"/>
      <c r="T13" s="3">
        <f>T12/1000</f>
        <v>1.7320508075688772E-3</v>
      </c>
      <c r="U13" s="3">
        <f>U12/1000</f>
        <v>1.7320508075688772E-3</v>
      </c>
      <c r="V13" s="3">
        <f>V12/1000</f>
        <v>1.7320508075688772E-3</v>
      </c>
      <c r="W13" s="28"/>
    </row>
    <row r="14" spans="1:29" x14ac:dyDescent="0.2">
      <c r="A14" s="1" t="s">
        <v>3</v>
      </c>
      <c r="C14" s="1">
        <v>-1.4</v>
      </c>
      <c r="D14" s="1">
        <v>0</v>
      </c>
      <c r="E14" s="38" t="s">
        <v>43</v>
      </c>
      <c r="G14" s="1">
        <v>-1.4</v>
      </c>
      <c r="H14" s="1">
        <v>0</v>
      </c>
      <c r="I14" s="38" t="s">
        <v>42</v>
      </c>
      <c r="O14" s="1">
        <v>-1.9</v>
      </c>
      <c r="P14" s="1">
        <v>-1.2</v>
      </c>
      <c r="Q14" s="1">
        <v>0</v>
      </c>
      <c r="R14" s="38" t="s">
        <v>43</v>
      </c>
      <c r="T14" s="1">
        <v>-1.9</v>
      </c>
      <c r="U14" s="1">
        <v>-1.2</v>
      </c>
      <c r="V14" s="1">
        <v>0</v>
      </c>
      <c r="W14" s="38" t="s">
        <v>42</v>
      </c>
    </row>
    <row r="15" spans="1:29" x14ac:dyDescent="0.2">
      <c r="A15" s="1" t="s">
        <v>7</v>
      </c>
      <c r="C15" s="1">
        <f>T</f>
        <v>-18</v>
      </c>
      <c r="D15" s="1">
        <f>T</f>
        <v>-18</v>
      </c>
      <c r="E15" s="38"/>
      <c r="G15" s="1">
        <f>T</f>
        <v>-18</v>
      </c>
      <c r="H15" s="1">
        <f>T</f>
        <v>-18</v>
      </c>
      <c r="I15" s="38"/>
      <c r="J15" s="36" t="s">
        <v>24</v>
      </c>
      <c r="K15" s="37"/>
      <c r="L15" s="37"/>
      <c r="O15" s="1">
        <f>T</f>
        <v>-18</v>
      </c>
      <c r="P15" s="1">
        <f>T</f>
        <v>-18</v>
      </c>
      <c r="Q15" s="1">
        <f>T</f>
        <v>-18</v>
      </c>
      <c r="R15" s="38"/>
      <c r="T15" s="1">
        <f>T</f>
        <v>-18</v>
      </c>
      <c r="U15" s="1">
        <f>T</f>
        <v>-18</v>
      </c>
      <c r="V15" s="1">
        <f>T</f>
        <v>-18</v>
      </c>
      <c r="W15" s="38"/>
      <c r="X15" s="37" t="s">
        <v>24</v>
      </c>
      <c r="Y15" s="37"/>
      <c r="Z15" s="37"/>
    </row>
    <row r="16" spans="1:29" x14ac:dyDescent="0.2">
      <c r="A16" s="1" t="s">
        <v>8</v>
      </c>
      <c r="C16" s="1">
        <f>C15+273</f>
        <v>255</v>
      </c>
      <c r="D16" s="1">
        <f>D15+273</f>
        <v>255</v>
      </c>
      <c r="E16" s="38"/>
      <c r="G16" s="1">
        <f>G15+273</f>
        <v>255</v>
      </c>
      <c r="H16" s="1">
        <f>H15+273</f>
        <v>255</v>
      </c>
      <c r="I16" s="38"/>
      <c r="J16" s="15">
        <f>2.75/1.75</f>
        <v>1.5714285714285714</v>
      </c>
      <c r="K16" s="39" t="s">
        <v>44</v>
      </c>
      <c r="L16" s="39"/>
      <c r="M16" s="39"/>
      <c r="O16" s="1">
        <f>O15+273</f>
        <v>255</v>
      </c>
      <c r="P16" s="1">
        <f>P15+273</f>
        <v>255</v>
      </c>
      <c r="Q16" s="1">
        <f>Q15+273</f>
        <v>255</v>
      </c>
      <c r="R16" s="38"/>
      <c r="T16" s="1">
        <f>T15+273</f>
        <v>255</v>
      </c>
      <c r="U16" s="1">
        <f>U15+273</f>
        <v>255</v>
      </c>
      <c r="V16" s="1">
        <f>V15+273</f>
        <v>255</v>
      </c>
      <c r="W16" s="38"/>
      <c r="X16" s="15">
        <f>2.75/1.75</f>
        <v>1.5714285714285714</v>
      </c>
      <c r="Y16" s="39" t="s">
        <v>44</v>
      </c>
      <c r="Z16" s="39"/>
      <c r="AA16" s="39"/>
      <c r="AC16" s="14" t="s">
        <v>36</v>
      </c>
    </row>
    <row r="17" spans="1:29" x14ac:dyDescent="0.2">
      <c r="A17" s="1" t="s">
        <v>9</v>
      </c>
      <c r="C17" s="3">
        <f>EXP(-C9/(R_*C16))</f>
        <v>4.5767936659499606E-15</v>
      </c>
      <c r="D17" s="3">
        <f>EXP(-D9/(R_*D16))</f>
        <v>7.7563263976057092E-14</v>
      </c>
      <c r="E17" s="38"/>
      <c r="G17" s="3">
        <f>EXP(-G9/(R_*G16))</f>
        <v>4.5767936659499606E-15</v>
      </c>
      <c r="H17" s="3">
        <f>EXP(-H9/(R_*H16))</f>
        <v>7.7563263976057092E-14</v>
      </c>
      <c r="I17" s="38"/>
      <c r="O17" s="3">
        <f>EXP(-O9/(R_*O16))</f>
        <v>5.2174640781522259E-38</v>
      </c>
      <c r="P17" s="3">
        <f>EXP(-P9/(R_*P16))</f>
        <v>2.2276428447964561E-11</v>
      </c>
      <c r="Q17" s="3">
        <f>EXP(-Q9/(R_*Q16))</f>
        <v>1.992298115436417E-13</v>
      </c>
      <c r="R17" s="38"/>
      <c r="T17" s="3">
        <f>EXP(-T9/(R_*T16))</f>
        <v>5.2174640781522259E-38</v>
      </c>
      <c r="U17" s="3">
        <f>EXP(-U9/(R_*U16))</f>
        <v>2.2276428447964561E-11</v>
      </c>
      <c r="V17" s="3">
        <f>EXP(-V9/(R_*V16))</f>
        <v>1.992298115436417E-13</v>
      </c>
      <c r="W17" s="38"/>
    </row>
    <row r="18" spans="1:29" x14ac:dyDescent="0.2">
      <c r="E18" s="28"/>
      <c r="I18" s="28"/>
      <c r="N18" s="1"/>
      <c r="R18" s="28"/>
      <c r="W18" s="28"/>
    </row>
    <row r="19" spans="1:29" x14ac:dyDescent="0.2">
      <c r="C19" s="1" t="s">
        <v>12</v>
      </c>
      <c r="D19" s="1" t="s">
        <v>12</v>
      </c>
      <c r="E19" s="28" t="s">
        <v>12</v>
      </c>
      <c r="G19" s="1" t="s">
        <v>12</v>
      </c>
      <c r="H19" s="1" t="s">
        <v>12</v>
      </c>
      <c r="I19" s="28" t="s">
        <v>12</v>
      </c>
      <c r="N19" s="1"/>
      <c r="O19" s="1" t="s">
        <v>12</v>
      </c>
      <c r="P19" s="1" t="s">
        <v>12</v>
      </c>
      <c r="Q19" s="1" t="s">
        <v>12</v>
      </c>
      <c r="R19" s="28"/>
      <c r="T19" s="1" t="s">
        <v>12</v>
      </c>
      <c r="U19" s="1" t="s">
        <v>12</v>
      </c>
      <c r="V19" s="1" t="s">
        <v>12</v>
      </c>
      <c r="W19" s="28"/>
    </row>
    <row r="20" spans="1:29" s="8" customFormat="1" ht="51" x14ac:dyDescent="0.2">
      <c r="A20" s="7" t="s">
        <v>75</v>
      </c>
      <c r="B20" s="7"/>
      <c r="C20" s="7" t="str">
        <f>C7</f>
        <v>G+K_GBS_cold</v>
      </c>
      <c r="D20" s="7" t="str">
        <f>D7</f>
        <v>G+K_Dis_cold</v>
      </c>
      <c r="E20" s="29" t="s">
        <v>20</v>
      </c>
      <c r="G20" s="7" t="str">
        <f>G7</f>
        <v>G+K_GBS_cold</v>
      </c>
      <c r="H20" s="7" t="str">
        <f>H7</f>
        <v>G+K_Dis_cold</v>
      </c>
      <c r="I20" s="29" t="s">
        <v>20</v>
      </c>
      <c r="J20" s="10" t="s">
        <v>23</v>
      </c>
      <c r="K20" s="7" t="s">
        <v>35</v>
      </c>
      <c r="L20" s="7" t="s">
        <v>30</v>
      </c>
      <c r="M20" s="7" t="s">
        <v>29</v>
      </c>
      <c r="N20" s="7"/>
      <c r="O20" s="7" t="str">
        <f>O7</f>
        <v>Fan_GSS1</v>
      </c>
      <c r="P20" s="7" t="str">
        <f t="shared" ref="P20:Q20" si="0">P7</f>
        <v>Fan_GSS2</v>
      </c>
      <c r="Q20" s="7" t="str">
        <f t="shared" si="0"/>
        <v>Fan_GSI</v>
      </c>
      <c r="R20" s="32" t="s">
        <v>16</v>
      </c>
      <c r="T20" s="7" t="str">
        <f>T7</f>
        <v>Fan_GSS1</v>
      </c>
      <c r="U20" s="7" t="str">
        <f t="shared" ref="U20:V20" si="1">U7</f>
        <v>Fan_GSS2</v>
      </c>
      <c r="V20" s="7" t="str">
        <f t="shared" si="1"/>
        <v>Fan_GSI</v>
      </c>
      <c r="W20" s="32" t="s">
        <v>16</v>
      </c>
      <c r="X20" s="10" t="s">
        <v>22</v>
      </c>
      <c r="Y20" s="7" t="s">
        <v>35</v>
      </c>
      <c r="Z20" s="7" t="s">
        <v>30</v>
      </c>
      <c r="AA20" s="7" t="s">
        <v>29</v>
      </c>
    </row>
    <row r="21" spans="1:29" x14ac:dyDescent="0.2">
      <c r="A21" s="13">
        <v>5.0000000000000001E-3</v>
      </c>
      <c r="C21" s="5">
        <f>C$11*C$17*C$13^C$14*$A21^C$8</f>
        <v>1.5801828409368802E-12</v>
      </c>
      <c r="D21" s="5">
        <f>D$11*D$17*D$13^D$14*$A21^D$8</f>
        <v>3.4319116096827291E-15</v>
      </c>
      <c r="E21" s="30">
        <f>C21+D21</f>
        <v>1.5836147525465628E-12</v>
      </c>
      <c r="F21" s="5"/>
      <c r="G21" s="5">
        <f>G$11*G$17*G$13^G$14*$A21^G$8</f>
        <v>7.3235636971922227E-13</v>
      </c>
      <c r="H21" s="5">
        <f>H$11*H$17*H$13^H$14*$A21^H$8</f>
        <v>3.4319116096827291E-15</v>
      </c>
      <c r="I21" s="30">
        <f>G21+H21</f>
        <v>7.3578828132890503E-13</v>
      </c>
      <c r="J21" s="11">
        <f>E21/I21</f>
        <v>2.1522696035419333</v>
      </c>
      <c r="K21" s="33">
        <f>ABS(J21-J$16)</f>
        <v>0.58084103211336191</v>
      </c>
      <c r="L21" s="4">
        <f>D21/C21</f>
        <v>2.1718446250485616E-3</v>
      </c>
      <c r="M21" s="4">
        <f>H21/G21</f>
        <v>4.686122428345217E-3</v>
      </c>
      <c r="N21" s="5"/>
      <c r="O21" s="5">
        <f>O$11*O$17*O$13^O$14*$A21^O$8</f>
        <v>9.8829017640423357E-15</v>
      </c>
      <c r="P21" s="5">
        <f t="shared" ref="P21:Q21" si="2">P$11*P$17*P$13^P$14*$A21^P$8</f>
        <v>1.3058357989260993E-12</v>
      </c>
      <c r="Q21" s="5">
        <f t="shared" si="2"/>
        <v>1.3051076633035752E-14</v>
      </c>
      <c r="R21" s="30">
        <f>SUM(O21:Q21)</f>
        <v>1.3287697773231772E-12</v>
      </c>
      <c r="S21" s="6"/>
      <c r="T21" s="5">
        <f>T$11*T$17*T$13^T$14*$A21^T$8</f>
        <v>3.4803208757724328E-15</v>
      </c>
      <c r="U21" s="5">
        <f t="shared" ref="U21:V21" si="3">U$11*U$17*U$13^U$14*$A21^U$8</f>
        <v>6.7548516827456474E-13</v>
      </c>
      <c r="V21" s="5">
        <f t="shared" si="3"/>
        <v>1.3051076633035752E-14</v>
      </c>
      <c r="W21" s="30">
        <f>SUM(T21:V21)</f>
        <v>6.9201656578337293E-13</v>
      </c>
      <c r="X21" s="11">
        <f>R21/W21</f>
        <v>1.9201415732280778</v>
      </c>
      <c r="Y21" s="33">
        <f>ABS(X21-X$16)</f>
        <v>0.34871300179950637</v>
      </c>
      <c r="Z21" s="4">
        <f>Q21/(SUM(O21:P21))</f>
        <v>9.919351777997831E-3</v>
      </c>
      <c r="AA21" s="4">
        <f t="shared" ref="AA21:AA44" si="4">V21/(SUM(T21:U21))</f>
        <v>1.9222002946523795E-2</v>
      </c>
    </row>
    <row r="22" spans="1:29" x14ac:dyDescent="0.2">
      <c r="A22" s="13">
        <v>0.01</v>
      </c>
      <c r="C22" s="5">
        <f t="shared" ref="C22:D45" si="5">C$11*C$17*C$13^C$14*$A22^C$8</f>
        <v>5.5025162491538844E-12</v>
      </c>
      <c r="D22" s="5">
        <f t="shared" si="5"/>
        <v>5.4910585754923666E-14</v>
      </c>
      <c r="E22" s="30">
        <f t="shared" ref="E22:E44" si="6">C22+D22</f>
        <v>5.5574268349088077E-12</v>
      </c>
      <c r="F22" s="5"/>
      <c r="G22" s="5">
        <f t="shared" ref="G22:H45" si="7">G$11*G$17*G$13^G$14*$A22^G$8</f>
        <v>2.5502130007702946E-12</v>
      </c>
      <c r="H22" s="5">
        <f t="shared" si="7"/>
        <v>5.4910585754923666E-14</v>
      </c>
      <c r="I22" s="30">
        <f t="shared" ref="I22:I44" si="8">G22+H22</f>
        <v>2.6051235865252183E-12</v>
      </c>
      <c r="J22" s="11">
        <f t="shared" ref="J22:J44" si="9">E22/I22</f>
        <v>2.1332680198567657</v>
      </c>
      <c r="K22" s="33">
        <f t="shared" ref="K22:K62" si="10">ABS(J22-J$16)</f>
        <v>0.56183944842819433</v>
      </c>
      <c r="L22" s="4">
        <f t="shared" ref="L22:L44" si="11">D22/C22</f>
        <v>9.9791773924097372E-3</v>
      </c>
      <c r="M22" s="4">
        <f t="shared" ref="M22:M44" si="12">H22/G22</f>
        <v>2.1531764499019439E-2</v>
      </c>
      <c r="N22" s="5"/>
      <c r="O22" s="5">
        <f t="shared" ref="O22:Q42" si="13">O$11*O$17*O$13^O$14*$A22^O$8</f>
        <v>5.5906134841238689E-14</v>
      </c>
      <c r="P22" s="5">
        <f t="shared" si="13"/>
        <v>4.8735515277114973E-12</v>
      </c>
      <c r="Q22" s="5">
        <f t="shared" si="13"/>
        <v>1.5825386450791234E-13</v>
      </c>
      <c r="R22" s="30">
        <f t="shared" ref="R22:R44" si="14">SUM(O22:Q22)</f>
        <v>5.0877115270606483E-12</v>
      </c>
      <c r="S22" s="6"/>
      <c r="T22" s="5">
        <f t="shared" ref="T22:V42" si="15">T$11*T$17*T$13^T$14*$A22^T$8</f>
        <v>1.9687667935710351E-14</v>
      </c>
      <c r="U22" s="5">
        <f t="shared" si="15"/>
        <v>2.5209997891758418E-12</v>
      </c>
      <c r="V22" s="5">
        <f t="shared" si="15"/>
        <v>1.5825386450791234E-13</v>
      </c>
      <c r="W22" s="30">
        <f t="shared" ref="W22:W44" si="16">SUM(T22:V22)</f>
        <v>2.6989413216194645E-12</v>
      </c>
      <c r="X22" s="11">
        <f t="shared" ref="X22:X44" si="17">R22/W22</f>
        <v>1.8850767470586702</v>
      </c>
      <c r="Y22" s="33">
        <f t="shared" ref="Y22:Y62" si="18">ABS(X22-X$16)</f>
        <v>0.31364817563009884</v>
      </c>
      <c r="Z22" s="4">
        <f t="shared" ref="Z22:Z44" si="19">Q22/(SUM(O22:P22))</f>
        <v>3.2103707008198555E-2</v>
      </c>
      <c r="AA22" s="4">
        <f t="shared" si="4"/>
        <v>6.2287812719722488E-2</v>
      </c>
    </row>
    <row r="23" spans="1:29" x14ac:dyDescent="0.2">
      <c r="A23" s="13">
        <v>1.4999999999999999E-2</v>
      </c>
      <c r="C23" s="5">
        <f t="shared" si="5"/>
        <v>1.1416305974403495E-11</v>
      </c>
      <c r="D23" s="5">
        <f t="shared" si="5"/>
        <v>2.7798484038430105E-13</v>
      </c>
      <c r="E23" s="30">
        <f t="shared" si="6"/>
        <v>1.1694290814787796E-11</v>
      </c>
      <c r="F23" s="5"/>
      <c r="G23" s="5">
        <f t="shared" si="7"/>
        <v>5.2910360639411483E-12</v>
      </c>
      <c r="H23" s="5">
        <f t="shared" si="7"/>
        <v>2.7798484038430105E-13</v>
      </c>
      <c r="I23" s="30">
        <f t="shared" si="8"/>
        <v>5.5690209043254495E-12</v>
      </c>
      <c r="J23" s="11">
        <f t="shared" si="9"/>
        <v>2.0998827290637139</v>
      </c>
      <c r="K23" s="33">
        <f t="shared" si="10"/>
        <v>0.52845415763514247</v>
      </c>
      <c r="L23" s="4">
        <f t="shared" si="11"/>
        <v>2.4349806409145917E-2</v>
      </c>
      <c r="M23" s="4">
        <f t="shared" si="12"/>
        <v>5.2538829262342567E-2</v>
      </c>
      <c r="N23" s="5"/>
      <c r="O23" s="5">
        <f t="shared" si="13"/>
        <v>1.5405919183380061E-13</v>
      </c>
      <c r="P23" s="5">
        <f t="shared" si="13"/>
        <v>1.0529771680896817E-11</v>
      </c>
      <c r="Q23" s="5">
        <f t="shared" si="13"/>
        <v>6.8121288937835525E-13</v>
      </c>
      <c r="R23" s="30">
        <f t="shared" si="14"/>
        <v>1.1365043762108973E-11</v>
      </c>
      <c r="S23" s="6"/>
      <c r="T23" s="5">
        <f t="shared" si="15"/>
        <v>5.4252833251324146E-14</v>
      </c>
      <c r="U23" s="5">
        <f t="shared" si="15"/>
        <v>5.4468598591130064E-12</v>
      </c>
      <c r="V23" s="5">
        <f t="shared" si="15"/>
        <v>6.8121288937835525E-13</v>
      </c>
      <c r="W23" s="30">
        <f t="shared" si="16"/>
        <v>6.1823255817426859E-12</v>
      </c>
      <c r="X23" s="11">
        <f t="shared" si="17"/>
        <v>1.8383120739664074</v>
      </c>
      <c r="Y23" s="33">
        <f t="shared" si="18"/>
        <v>0.26688350253783599</v>
      </c>
      <c r="Z23" s="4">
        <f t="shared" si="19"/>
        <v>6.3761107555257282E-2</v>
      </c>
      <c r="AA23" s="4">
        <f t="shared" si="4"/>
        <v>0.12383183684346155</v>
      </c>
    </row>
    <row r="24" spans="1:29" x14ac:dyDescent="0.2">
      <c r="A24" s="13">
        <v>0.02</v>
      </c>
      <c r="C24" s="5">
        <f t="shared" si="5"/>
        <v>1.9160874480987947E-11</v>
      </c>
      <c r="D24" s="5">
        <f t="shared" si="5"/>
        <v>8.7856937207877865E-13</v>
      </c>
      <c r="E24" s="30">
        <f t="shared" si="6"/>
        <v>2.0039443853066727E-11</v>
      </c>
      <c r="F24" s="5"/>
      <c r="G24" s="5">
        <f t="shared" si="7"/>
        <v>8.8803574573827102E-12</v>
      </c>
      <c r="H24" s="5">
        <f t="shared" si="7"/>
        <v>8.7856937207877865E-13</v>
      </c>
      <c r="I24" s="30">
        <f t="shared" si="8"/>
        <v>9.7589268294614896E-12</v>
      </c>
      <c r="J24" s="11">
        <f t="shared" si="9"/>
        <v>2.0534474951250896</v>
      </c>
      <c r="K24" s="33">
        <f t="shared" si="10"/>
        <v>0.48201892369651822</v>
      </c>
      <c r="L24" s="4">
        <f t="shared" si="11"/>
        <v>4.5852258619538698E-2</v>
      </c>
      <c r="M24" s="4">
        <f t="shared" si="12"/>
        <v>9.8934009840828827E-2</v>
      </c>
      <c r="N24" s="5"/>
      <c r="O24" s="5">
        <f t="shared" si="13"/>
        <v>3.1625285644935484E-13</v>
      </c>
      <c r="P24" s="5">
        <f t="shared" si="13"/>
        <v>1.818873744523775E-11</v>
      </c>
      <c r="Q24" s="5">
        <f t="shared" si="13"/>
        <v>1.9189440331914745E-12</v>
      </c>
      <c r="R24" s="30">
        <f t="shared" si="14"/>
        <v>2.042393433487858E-11</v>
      </c>
      <c r="S24" s="6"/>
      <c r="T24" s="5">
        <f t="shared" si="15"/>
        <v>1.1137026802471789E-13</v>
      </c>
      <c r="U24" s="5">
        <f t="shared" si="15"/>
        <v>9.4087038998335876E-12</v>
      </c>
      <c r="V24" s="5">
        <f t="shared" si="15"/>
        <v>1.9189440331914745E-12</v>
      </c>
      <c r="W24" s="30">
        <f t="shared" si="16"/>
        <v>1.1439018201049779E-11</v>
      </c>
      <c r="X24" s="11">
        <f t="shared" si="17"/>
        <v>1.7854621765532499</v>
      </c>
      <c r="Y24" s="33">
        <f t="shared" si="18"/>
        <v>0.21403360512467851</v>
      </c>
      <c r="Z24" s="4">
        <f t="shared" si="19"/>
        <v>0.10369873217477578</v>
      </c>
      <c r="AA24" s="4">
        <f t="shared" si="4"/>
        <v>0.20156818102008253</v>
      </c>
    </row>
    <row r="25" spans="1:29" x14ac:dyDescent="0.2">
      <c r="A25" s="13">
        <v>2.5000000000000001E-2</v>
      </c>
      <c r="C25" s="5">
        <f t="shared" si="5"/>
        <v>2.8632109700087425E-11</v>
      </c>
      <c r="D25" s="5">
        <f t="shared" si="5"/>
        <v>2.1449447560517065E-12</v>
      </c>
      <c r="E25" s="30">
        <f t="shared" si="6"/>
        <v>3.0777054456139134E-11</v>
      </c>
      <c r="F25" s="5"/>
      <c r="G25" s="5">
        <f t="shared" si="7"/>
        <v>1.3269925083432894E-11</v>
      </c>
      <c r="H25" s="5">
        <f t="shared" si="7"/>
        <v>2.1449447560517065E-12</v>
      </c>
      <c r="I25" s="30">
        <f t="shared" si="8"/>
        <v>1.5414869839484602E-11</v>
      </c>
      <c r="J25" s="11">
        <f t="shared" si="9"/>
        <v>1.9965821817907849</v>
      </c>
      <c r="K25" s="33">
        <f t="shared" si="10"/>
        <v>0.42515361036221355</v>
      </c>
      <c r="L25" s="4">
        <f t="shared" si="11"/>
        <v>7.4913961231615325E-2</v>
      </c>
      <c r="M25" s="4">
        <f t="shared" si="12"/>
        <v>0.16163955279066392</v>
      </c>
      <c r="N25" s="5"/>
      <c r="O25" s="5">
        <f t="shared" si="13"/>
        <v>5.5247100398378113E-13</v>
      </c>
      <c r="P25" s="5">
        <f t="shared" si="13"/>
        <v>2.7792753697065262E-11</v>
      </c>
      <c r="Q25" s="5">
        <f t="shared" si="13"/>
        <v>4.2848769567590839E-12</v>
      </c>
      <c r="R25" s="30">
        <f t="shared" si="14"/>
        <v>3.2630101657808126E-11</v>
      </c>
      <c r="S25" s="6"/>
      <c r="T25" s="5">
        <f t="shared" si="15"/>
        <v>1.9455585154346897E-13</v>
      </c>
      <c r="U25" s="5">
        <f t="shared" si="15"/>
        <v>1.4376687270570156E-11</v>
      </c>
      <c r="V25" s="5">
        <f t="shared" si="15"/>
        <v>4.2848769567590839E-12</v>
      </c>
      <c r="W25" s="30">
        <f t="shared" si="16"/>
        <v>1.8856120078872708E-11</v>
      </c>
      <c r="X25" s="11">
        <f t="shared" si="17"/>
        <v>1.7304780369090056</v>
      </c>
      <c r="Y25" s="33">
        <f t="shared" si="18"/>
        <v>0.15904946548043419</v>
      </c>
      <c r="Z25" s="4">
        <f t="shared" si="19"/>
        <v>0.15116750711806856</v>
      </c>
      <c r="AA25" s="4">
        <f t="shared" si="4"/>
        <v>0.29406392583322316</v>
      </c>
    </row>
    <row r="26" spans="1:29" x14ac:dyDescent="0.2">
      <c r="A26" s="13">
        <v>0.03</v>
      </c>
      <c r="C26" s="5">
        <f t="shared" si="5"/>
        <v>3.9753886387111485E-11</v>
      </c>
      <c r="D26" s="5">
        <f t="shared" si="5"/>
        <v>4.4477574461488169E-12</v>
      </c>
      <c r="E26" s="30">
        <f t="shared" si="6"/>
        <v>4.4201643833260304E-11</v>
      </c>
      <c r="F26" s="5"/>
      <c r="G26" s="5">
        <f t="shared" si="7"/>
        <v>1.8424457703536301E-11</v>
      </c>
      <c r="H26" s="5">
        <f t="shared" si="7"/>
        <v>4.4477574461488169E-12</v>
      </c>
      <c r="I26" s="30">
        <f t="shared" si="8"/>
        <v>2.2872215149685117E-11</v>
      </c>
      <c r="J26" s="11">
        <f t="shared" si="9"/>
        <v>1.9325475711026106</v>
      </c>
      <c r="K26" s="33">
        <f t="shared" si="10"/>
        <v>0.36111899967403915</v>
      </c>
      <c r="L26" s="4">
        <f t="shared" si="11"/>
        <v>0.11188233026672868</v>
      </c>
      <c r="M26" s="4">
        <f t="shared" si="12"/>
        <v>0.24140506698849193</v>
      </c>
      <c r="N26" s="5"/>
      <c r="O26" s="5">
        <f t="shared" si="13"/>
        <v>8.714903939983961E-13</v>
      </c>
      <c r="P26" s="5">
        <f t="shared" si="13"/>
        <v>3.929849748650686E-11</v>
      </c>
      <c r="Q26" s="5">
        <f t="shared" si="13"/>
        <v>8.2602052940095076E-12</v>
      </c>
      <c r="R26" s="30">
        <f t="shared" si="14"/>
        <v>4.8430193174514762E-11</v>
      </c>
      <c r="S26" s="6"/>
      <c r="T26" s="5">
        <f t="shared" si="15"/>
        <v>3.0690037032475428E-13</v>
      </c>
      <c r="U26" s="5">
        <f t="shared" si="15"/>
        <v>2.032839979531985E-11</v>
      </c>
      <c r="V26" s="5">
        <f t="shared" si="15"/>
        <v>8.2602052940095076E-12</v>
      </c>
      <c r="W26" s="30">
        <f t="shared" si="16"/>
        <v>2.8895505459654112E-11</v>
      </c>
      <c r="X26" s="11">
        <f t="shared" si="17"/>
        <v>1.6760458903249269</v>
      </c>
      <c r="Y26" s="33">
        <f t="shared" si="18"/>
        <v>0.1046173188963555</v>
      </c>
      <c r="Z26" s="4">
        <f t="shared" si="19"/>
        <v>0.20563126179129956</v>
      </c>
      <c r="AA26" s="4">
        <f t="shared" si="4"/>
        <v>0.40029489407485319</v>
      </c>
    </row>
    <row r="27" spans="1:29" x14ac:dyDescent="0.2">
      <c r="A27" s="13">
        <v>3.5000000000000003E-2</v>
      </c>
      <c r="C27" s="5">
        <f t="shared" si="5"/>
        <v>5.2466707771163276E-11</v>
      </c>
      <c r="D27" s="5">
        <f t="shared" si="5"/>
        <v>8.2400197748482347E-12</v>
      </c>
      <c r="E27" s="30">
        <f t="shared" si="6"/>
        <v>6.0706727546011512E-11</v>
      </c>
      <c r="F27" s="5"/>
      <c r="G27" s="5">
        <f t="shared" si="7"/>
        <v>2.431638076238501E-11</v>
      </c>
      <c r="H27" s="5">
        <f t="shared" si="7"/>
        <v>8.2400197748482347E-12</v>
      </c>
      <c r="I27" s="30">
        <f t="shared" si="8"/>
        <v>3.2556400537233243E-11</v>
      </c>
      <c r="J27" s="11">
        <f t="shared" si="9"/>
        <v>1.8646633701592426</v>
      </c>
      <c r="K27" s="33">
        <f t="shared" si="10"/>
        <v>0.29323479873067115</v>
      </c>
      <c r="L27" s="4">
        <f t="shared" si="11"/>
        <v>0.15705235043120258</v>
      </c>
      <c r="M27" s="4">
        <f t="shared" si="12"/>
        <v>0.33886703187321016</v>
      </c>
      <c r="N27" s="5"/>
      <c r="O27" s="5">
        <f t="shared" si="13"/>
        <v>1.2812373146675401E-12</v>
      </c>
      <c r="P27" s="5">
        <f t="shared" si="13"/>
        <v>5.2671398113439229E-11</v>
      </c>
      <c r="Q27" s="5">
        <f t="shared" si="13"/>
        <v>1.4387962055514178E-11</v>
      </c>
      <c r="R27" s="30">
        <f t="shared" si="14"/>
        <v>6.8340597483620951E-11</v>
      </c>
      <c r="S27" s="6"/>
      <c r="T27" s="5">
        <f t="shared" si="15"/>
        <v>4.5119511248001826E-13</v>
      </c>
      <c r="U27" s="5">
        <f t="shared" si="15"/>
        <v>2.7245958678091491E-11</v>
      </c>
      <c r="V27" s="5">
        <f t="shared" si="15"/>
        <v>1.4387962055514178E-11</v>
      </c>
      <c r="W27" s="30">
        <f t="shared" si="16"/>
        <v>4.2085115846085688E-11</v>
      </c>
      <c r="X27" s="11">
        <f t="shared" si="17"/>
        <v>1.6238662080331965</v>
      </c>
      <c r="Y27" s="33">
        <f t="shared" si="18"/>
        <v>5.2437636604625082E-2</v>
      </c>
      <c r="Z27" s="4">
        <f t="shared" si="19"/>
        <v>0.26667765052342057</v>
      </c>
      <c r="AA27" s="4">
        <f t="shared" si="4"/>
        <v>0.51947438947362301</v>
      </c>
    </row>
    <row r="28" spans="1:29" x14ac:dyDescent="0.2">
      <c r="A28" s="22">
        <v>0.04</v>
      </c>
      <c r="C28" s="5">
        <f t="shared" si="5"/>
        <v>6.672204029068156E-11</v>
      </c>
      <c r="D28" s="5">
        <f t="shared" si="5"/>
        <v>1.4057109953260458E-11</v>
      </c>
      <c r="E28" s="30">
        <f t="shared" si="6"/>
        <v>8.0779150243942017E-11</v>
      </c>
      <c r="F28" s="5"/>
      <c r="G28" s="5">
        <f t="shared" si="7"/>
        <v>3.0923200747181824E-11</v>
      </c>
      <c r="H28" s="5">
        <f t="shared" si="7"/>
        <v>1.4057109953260458E-11</v>
      </c>
      <c r="I28" s="30">
        <f t="shared" si="8"/>
        <v>4.4980310700442281E-11</v>
      </c>
      <c r="J28" s="11">
        <f t="shared" si="9"/>
        <v>1.7958779960839117</v>
      </c>
      <c r="K28" s="33">
        <f t="shared" si="10"/>
        <v>0.22444942465534035</v>
      </c>
      <c r="L28" s="4">
        <f t="shared" si="11"/>
        <v>0.21068165619665086</v>
      </c>
      <c r="M28" s="4">
        <f t="shared" si="12"/>
        <v>0.4545813374296821</v>
      </c>
      <c r="N28" s="5"/>
      <c r="O28" s="5">
        <f t="shared" si="13"/>
        <v>1.7889963149196356E-12</v>
      </c>
      <c r="P28" s="5">
        <f t="shared" si="13"/>
        <v>6.7882768443230848E-11</v>
      </c>
      <c r="Q28" s="5">
        <f t="shared" si="13"/>
        <v>2.326860209051678E-11</v>
      </c>
      <c r="R28" s="30">
        <f t="shared" si="14"/>
        <v>9.2940366848667258E-11</v>
      </c>
      <c r="S28" s="6"/>
      <c r="T28" s="5">
        <f t="shared" si="15"/>
        <v>6.3000537394273031E-13</v>
      </c>
      <c r="U28" s="5">
        <f t="shared" si="15"/>
        <v>3.5114524584583004E-11</v>
      </c>
      <c r="V28" s="5">
        <f t="shared" si="15"/>
        <v>2.326860209051678E-11</v>
      </c>
      <c r="W28" s="30">
        <f t="shared" si="16"/>
        <v>5.9013132049042514E-11</v>
      </c>
      <c r="X28" s="11">
        <f t="shared" si="17"/>
        <v>1.5749099161764488</v>
      </c>
      <c r="Y28" s="33">
        <f t="shared" si="18"/>
        <v>3.481344747877424E-3</v>
      </c>
      <c r="Z28" s="4">
        <f t="shared" si="19"/>
        <v>0.33397463335812411</v>
      </c>
      <c r="AA28" s="4">
        <f t="shared" si="4"/>
        <v>0.65096959220096795</v>
      </c>
      <c r="AC28" s="23" t="s">
        <v>40</v>
      </c>
    </row>
    <row r="29" spans="1:29" x14ac:dyDescent="0.2">
      <c r="A29" s="13">
        <v>4.4999999999999998E-2</v>
      </c>
      <c r="C29" s="5">
        <f t="shared" si="5"/>
        <v>8.2479089586827834E-11</v>
      </c>
      <c r="D29" s="5">
        <f t="shared" si="5"/>
        <v>2.2516772071128383E-11</v>
      </c>
      <c r="E29" s="30">
        <f t="shared" si="6"/>
        <v>1.0499586165795622E-10</v>
      </c>
      <c r="F29" s="5"/>
      <c r="G29" s="5">
        <f t="shared" si="7"/>
        <v>3.8226010979680397E-11</v>
      </c>
      <c r="H29" s="5">
        <f t="shared" si="7"/>
        <v>2.2516772071128383E-11</v>
      </c>
      <c r="I29" s="30">
        <f t="shared" si="8"/>
        <v>6.074278305080878E-11</v>
      </c>
      <c r="J29" s="11">
        <f t="shared" si="9"/>
        <v>1.7285322862163164</v>
      </c>
      <c r="K29" s="33">
        <f t="shared" si="10"/>
        <v>0.15710371478774499</v>
      </c>
      <c r="L29" s="4">
        <f t="shared" si="11"/>
        <v>0.27299976495769157</v>
      </c>
      <c r="M29" s="4">
        <f t="shared" si="12"/>
        <v>0.58904320628949502</v>
      </c>
      <c r="N29" s="5"/>
      <c r="O29" s="5">
        <f t="shared" si="13"/>
        <v>2.4015451286622868E-12</v>
      </c>
      <c r="P29" s="5">
        <f t="shared" si="13"/>
        <v>8.4908142159220695E-11</v>
      </c>
      <c r="Q29" s="5">
        <f t="shared" si="13"/>
        <v>3.5556530216102736E-11</v>
      </c>
      <c r="R29" s="30">
        <f t="shared" si="14"/>
        <v>1.2286621750398573E-10</v>
      </c>
      <c r="S29" s="6"/>
      <c r="T29" s="5">
        <f t="shared" si="15"/>
        <v>8.457179728127009E-13</v>
      </c>
      <c r="U29" s="5">
        <f t="shared" si="15"/>
        <v>4.3921441533054251E-11</v>
      </c>
      <c r="V29" s="5">
        <f t="shared" si="15"/>
        <v>3.5556530216102736E-11</v>
      </c>
      <c r="W29" s="30">
        <f t="shared" si="16"/>
        <v>8.0323689721969692E-11</v>
      </c>
      <c r="X29" s="11">
        <f t="shared" si="17"/>
        <v>1.5296386150744772</v>
      </c>
      <c r="Y29" s="33">
        <f t="shared" si="18"/>
        <v>4.1789956354094215E-2</v>
      </c>
      <c r="Z29" s="4">
        <f t="shared" si="19"/>
        <v>0.40724610659597843</v>
      </c>
      <c r="AA29" s="4">
        <f t="shared" si="4"/>
        <v>0.7942547753435838</v>
      </c>
    </row>
    <row r="30" spans="1:29" x14ac:dyDescent="0.2">
      <c r="A30" s="13">
        <v>0.05</v>
      </c>
      <c r="C30" s="5">
        <f t="shared" si="5"/>
        <v>9.970279691107013E-11</v>
      </c>
      <c r="D30" s="5">
        <f t="shared" si="5"/>
        <v>3.4319116096827305E-11</v>
      </c>
      <c r="E30" s="30">
        <f t="shared" si="6"/>
        <v>1.3402191300789743E-10</v>
      </c>
      <c r="F30" s="5"/>
      <c r="G30" s="5">
        <f t="shared" si="7"/>
        <v>4.6208563025119503E-11</v>
      </c>
      <c r="H30" s="5">
        <f t="shared" si="7"/>
        <v>3.4319116096827305E-11</v>
      </c>
      <c r="I30" s="30">
        <f t="shared" si="8"/>
        <v>8.0527679121946808E-11</v>
      </c>
      <c r="J30" s="11">
        <f t="shared" si="9"/>
        <v>1.6642962329131803</v>
      </c>
      <c r="K30" s="33">
        <f t="shared" si="10"/>
        <v>9.2867661484608899E-2</v>
      </c>
      <c r="L30" s="4">
        <f t="shared" si="11"/>
        <v>0.34421417613227268</v>
      </c>
      <c r="M30" s="4">
        <f t="shared" si="12"/>
        <v>0.74270035357236797</v>
      </c>
      <c r="N30" s="5"/>
      <c r="O30" s="5">
        <f t="shared" si="13"/>
        <v>3.1252479466069753E-12</v>
      </c>
      <c r="P30" s="5">
        <f t="shared" si="13"/>
        <v>1.0372622450007388E-10</v>
      </c>
      <c r="Q30" s="5">
        <f t="shared" si="13"/>
        <v>5.1957271910547237E-11</v>
      </c>
      <c r="R30" s="30">
        <f t="shared" si="14"/>
        <v>1.588087443572281E-10</v>
      </c>
      <c r="S30" s="6"/>
      <c r="T30" s="5">
        <f t="shared" si="15"/>
        <v>1.1005740955672814E-12</v>
      </c>
      <c r="U30" s="5">
        <f t="shared" si="15"/>
        <v>5.3655694129796853E-11</v>
      </c>
      <c r="V30" s="5">
        <f t="shared" si="15"/>
        <v>5.1957271910547237E-11</v>
      </c>
      <c r="W30" s="30">
        <f t="shared" si="16"/>
        <v>1.0671354013591137E-10</v>
      </c>
      <c r="X30" s="11">
        <f t="shared" si="17"/>
        <v>1.4881780152262569</v>
      </c>
      <c r="Y30" s="33">
        <f t="shared" si="18"/>
        <v>8.3250556202314474E-2</v>
      </c>
      <c r="Z30" s="4">
        <f t="shared" si="19"/>
        <v>0.48625695763316729</v>
      </c>
      <c r="AA30" s="4">
        <f t="shared" si="4"/>
        <v>0.9488826319701541</v>
      </c>
    </row>
    <row r="31" spans="1:29" x14ac:dyDescent="0.2">
      <c r="A31" s="20">
        <v>5.5E-2</v>
      </c>
      <c r="C31" s="5">
        <f t="shared" si="5"/>
        <v>1.1836251233135927E-10</v>
      </c>
      <c r="D31" s="5">
        <f t="shared" si="5"/>
        <v>5.0246617877364839E-11</v>
      </c>
      <c r="E31" s="30">
        <f t="shared" si="6"/>
        <v>1.6860913020872411E-10</v>
      </c>
      <c r="F31" s="5"/>
      <c r="G31" s="5">
        <f t="shared" si="7"/>
        <v>5.4856651772301778E-11</v>
      </c>
      <c r="H31" s="5">
        <f t="shared" si="7"/>
        <v>5.0246617877364839E-11</v>
      </c>
      <c r="I31" s="30">
        <f t="shared" si="8"/>
        <v>1.0510326964966662E-10</v>
      </c>
      <c r="J31" s="11">
        <f t="shared" si="9"/>
        <v>1.6042234534733044</v>
      </c>
      <c r="K31" s="33">
        <f t="shared" si="10"/>
        <v>3.279488204473302E-2</v>
      </c>
      <c r="L31" s="4">
        <f t="shared" si="11"/>
        <v>0.42451462788064165</v>
      </c>
      <c r="M31" s="4">
        <f t="shared" si="12"/>
        <v>0.91596217147790571</v>
      </c>
      <c r="N31" s="5"/>
      <c r="O31" s="5">
        <f t="shared" si="13"/>
        <v>3.9661231159436582E-12</v>
      </c>
      <c r="P31" s="5">
        <f t="shared" si="13"/>
        <v>1.2431818822488123E-10</v>
      </c>
      <c r="Q31" s="5">
        <f t="shared" si="13"/>
        <v>7.3225105543638492E-11</v>
      </c>
      <c r="R31" s="30">
        <f t="shared" si="14"/>
        <v>2.0150941688446337E-10</v>
      </c>
      <c r="S31" s="6"/>
      <c r="T31" s="5">
        <f t="shared" si="15"/>
        <v>1.3966931378923693E-12</v>
      </c>
      <c r="U31" s="5">
        <f t="shared" si="15"/>
        <v>6.430754338465282E-11</v>
      </c>
      <c r="V31" s="5">
        <f t="shared" si="15"/>
        <v>7.3225105543638492E-11</v>
      </c>
      <c r="W31" s="30">
        <f t="shared" si="16"/>
        <v>1.3892934206618368E-10</v>
      </c>
      <c r="X31" s="11">
        <f t="shared" si="17"/>
        <v>1.4504453406859694</v>
      </c>
      <c r="Y31" s="33">
        <f t="shared" si="18"/>
        <v>0.12098323074260198</v>
      </c>
      <c r="Z31" s="4">
        <f t="shared" si="19"/>
        <v>0.57080327889116955</v>
      </c>
      <c r="AA31" s="4">
        <f t="shared" si="4"/>
        <v>1.1144655111929147</v>
      </c>
      <c r="AC31" s="21" t="s">
        <v>41</v>
      </c>
    </row>
    <row r="32" spans="1:29" x14ac:dyDescent="0.2">
      <c r="A32" s="20">
        <v>0.06</v>
      </c>
      <c r="C32" s="5">
        <f t="shared" si="5"/>
        <v>1.3843107275004013E-10</v>
      </c>
      <c r="D32" s="5">
        <f t="shared" si="5"/>
        <v>7.116411913838107E-11</v>
      </c>
      <c r="E32" s="30">
        <f t="shared" si="6"/>
        <v>2.0959519188842119E-10</v>
      </c>
      <c r="F32" s="5"/>
      <c r="G32" s="5">
        <f t="shared" si="7"/>
        <v>6.4157688128956576E-11</v>
      </c>
      <c r="H32" s="5">
        <f t="shared" si="7"/>
        <v>7.116411913838107E-11</v>
      </c>
      <c r="I32" s="30">
        <f t="shared" si="8"/>
        <v>1.3532180726733766E-10</v>
      </c>
      <c r="J32" s="11">
        <f t="shared" si="9"/>
        <v>1.5488648586724185</v>
      </c>
      <c r="K32" s="33">
        <f t="shared" si="10"/>
        <v>2.2563712756152876E-2</v>
      </c>
      <c r="L32" s="4">
        <f t="shared" si="11"/>
        <v>0.51407619492250478</v>
      </c>
      <c r="M32" s="4">
        <f t="shared" si="12"/>
        <v>1.1092064133505186</v>
      </c>
      <c r="N32" s="5"/>
      <c r="O32" s="5">
        <f t="shared" si="13"/>
        <v>4.9298941386816211E-12</v>
      </c>
      <c r="P32" s="5">
        <f t="shared" si="13"/>
        <v>1.4666717869094883E-10</v>
      </c>
      <c r="Q32" s="5">
        <f t="shared" si="13"/>
        <v>1.0016104005525687E-10</v>
      </c>
      <c r="R32" s="30">
        <f t="shared" si="14"/>
        <v>2.5175811288488733E-10</v>
      </c>
      <c r="S32" s="6"/>
      <c r="T32" s="5">
        <f t="shared" si="15"/>
        <v>1.7360906640423733E-12</v>
      </c>
      <c r="U32" s="5">
        <f t="shared" si="15"/>
        <v>7.5868270696734012E-11</v>
      </c>
      <c r="V32" s="5">
        <f t="shared" si="15"/>
        <v>1.0016104005525687E-10</v>
      </c>
      <c r="W32" s="30">
        <f t="shared" si="16"/>
        <v>1.7776540141603325E-10</v>
      </c>
      <c r="X32" s="11">
        <f t="shared" si="17"/>
        <v>1.4162379792661972</v>
      </c>
      <c r="Y32" s="33">
        <f t="shared" si="18"/>
        <v>0.15519059216237419</v>
      </c>
      <c r="Z32" s="4">
        <f t="shared" si="19"/>
        <v>0.66070563359637546</v>
      </c>
      <c r="AA32" s="4">
        <f t="shared" si="4"/>
        <v>1.2906625130205802</v>
      </c>
    </row>
    <row r="33" spans="1:27" x14ac:dyDescent="0.2">
      <c r="A33" s="13">
        <v>6.5000000000000002E-2</v>
      </c>
      <c r="C33" s="5">
        <f t="shared" si="5"/>
        <v>1.5988413647577307E-10</v>
      </c>
      <c r="D33" s="5">
        <f t="shared" si="5"/>
        <v>9.801882748414844E-11</v>
      </c>
      <c r="E33" s="30">
        <f t="shared" si="6"/>
        <v>2.5790296395992148E-10</v>
      </c>
      <c r="F33" s="5"/>
      <c r="G33" s="5">
        <f t="shared" si="7"/>
        <v>7.4100390620408634E-11</v>
      </c>
      <c r="H33" s="5">
        <f t="shared" si="7"/>
        <v>9.801882748414844E-11</v>
      </c>
      <c r="I33" s="30">
        <f t="shared" si="8"/>
        <v>1.7211921810455707E-10</v>
      </c>
      <c r="J33" s="11">
        <f t="shared" si="9"/>
        <v>1.4983972551121714</v>
      </c>
      <c r="K33" s="33">
        <f t="shared" si="10"/>
        <v>7.303131631640003E-2</v>
      </c>
      <c r="L33" s="4">
        <f t="shared" si="11"/>
        <v>0.6130616185239931</v>
      </c>
      <c r="M33" s="4">
        <f t="shared" si="12"/>
        <v>1.3227842210207219</v>
      </c>
      <c r="N33" s="5"/>
      <c r="O33" s="5">
        <f t="shared" si="13"/>
        <v>6.0220292312461514E-12</v>
      </c>
      <c r="P33" s="5">
        <f t="shared" si="13"/>
        <v>1.707579529418532E-10</v>
      </c>
      <c r="Q33" s="5">
        <f t="shared" si="13"/>
        <v>1.336110595662495E-10</v>
      </c>
      <c r="R33" s="30">
        <f t="shared" si="14"/>
        <v>3.1039104173934884E-10</v>
      </c>
      <c r="S33" s="6"/>
      <c r="T33" s="5">
        <f t="shared" si="15"/>
        <v>2.1206923379804236E-12</v>
      </c>
      <c r="U33" s="5">
        <f t="shared" si="15"/>
        <v>8.8329991161220702E-11</v>
      </c>
      <c r="V33" s="5">
        <f t="shared" si="15"/>
        <v>1.336110595662495E-10</v>
      </c>
      <c r="W33" s="30">
        <f t="shared" si="16"/>
        <v>2.2406174306545064E-10</v>
      </c>
      <c r="X33" s="11">
        <f t="shared" si="17"/>
        <v>1.385292453289005</v>
      </c>
      <c r="Y33" s="33">
        <f t="shared" si="18"/>
        <v>0.18613611813956643</v>
      </c>
      <c r="Z33" s="4">
        <f t="shared" si="19"/>
        <v>0.75580423713031197</v>
      </c>
      <c r="AA33" s="4">
        <f t="shared" si="4"/>
        <v>1.4771702589448046</v>
      </c>
    </row>
    <row r="34" spans="1:27" x14ac:dyDescent="0.2">
      <c r="A34" s="13">
        <v>7.0000000000000007E-2</v>
      </c>
      <c r="C34" s="5">
        <f t="shared" si="5"/>
        <v>1.826996880179173E-10</v>
      </c>
      <c r="D34" s="5">
        <f t="shared" si="5"/>
        <v>1.3184031639757176E-10</v>
      </c>
      <c r="E34" s="30">
        <f t="shared" si="6"/>
        <v>3.1454000441548906E-10</v>
      </c>
      <c r="F34" s="5"/>
      <c r="G34" s="5">
        <f t="shared" si="7"/>
        <v>8.4674555880069225E-11</v>
      </c>
      <c r="H34" s="5">
        <f t="shared" si="7"/>
        <v>1.3184031639757176E-10</v>
      </c>
      <c r="I34" s="30">
        <f t="shared" si="8"/>
        <v>2.1651487227764098E-10</v>
      </c>
      <c r="J34" s="11">
        <f t="shared" si="9"/>
        <v>1.4527408722858939</v>
      </c>
      <c r="K34" s="33">
        <f t="shared" si="10"/>
        <v>0.11868769914267752</v>
      </c>
      <c r="L34" s="4">
        <f t="shared" si="11"/>
        <v>0.72162310635496119</v>
      </c>
      <c r="M34" s="4">
        <f t="shared" si="12"/>
        <v>1.5570240083019373</v>
      </c>
      <c r="N34" s="5"/>
      <c r="O34" s="5">
        <f t="shared" si="13"/>
        <v>7.2477727480852816E-12</v>
      </c>
      <c r="P34" s="5">
        <f t="shared" si="13"/>
        <v>1.9657660860083346E-10</v>
      </c>
      <c r="Q34" s="5">
        <f t="shared" si="13"/>
        <v>1.7446457956692674E-10</v>
      </c>
      <c r="R34" s="30">
        <f t="shared" si="14"/>
        <v>3.7828896091584544E-10</v>
      </c>
      <c r="S34" s="6"/>
      <c r="T34" s="5">
        <f t="shared" si="15"/>
        <v>2.5523449893827843E-12</v>
      </c>
      <c r="U34" s="5">
        <f t="shared" si="15"/>
        <v>1.0168551333083179E-10</v>
      </c>
      <c r="V34" s="5">
        <f t="shared" si="15"/>
        <v>1.7446457956692674E-10</v>
      </c>
      <c r="W34" s="30">
        <f t="shared" si="16"/>
        <v>2.7870243788714134E-10</v>
      </c>
      <c r="X34" s="11">
        <f t="shared" si="17"/>
        <v>1.3573220377391568</v>
      </c>
      <c r="Y34" s="33">
        <f t="shared" si="18"/>
        <v>0.21410653368941457</v>
      </c>
      <c r="Z34" s="4">
        <f t="shared" si="19"/>
        <v>0.85595539852647884</v>
      </c>
      <c r="AA34" s="4">
        <f t="shared" si="4"/>
        <v>1.6737160795358865</v>
      </c>
    </row>
    <row r="35" spans="1:27" x14ac:dyDescent="0.2">
      <c r="A35" s="13">
        <v>7.4999999999999997E-2</v>
      </c>
      <c r="C35" s="5">
        <f t="shared" si="5"/>
        <v>2.0685766011424589E-10</v>
      </c>
      <c r="D35" s="5">
        <f t="shared" si="5"/>
        <v>1.7374052524018815E-10</v>
      </c>
      <c r="E35" s="30">
        <f t="shared" si="6"/>
        <v>3.8059818535443406E-10</v>
      </c>
      <c r="F35" s="5"/>
      <c r="G35" s="5">
        <f t="shared" si="7"/>
        <v>9.5870883473245642E-11</v>
      </c>
      <c r="H35" s="5">
        <f t="shared" si="7"/>
        <v>1.7374052524018815E-10</v>
      </c>
      <c r="I35" s="30">
        <f t="shared" si="8"/>
        <v>2.6961140871343382E-10</v>
      </c>
      <c r="J35" s="11">
        <f t="shared" si="9"/>
        <v>1.411654600117336</v>
      </c>
      <c r="K35" s="33">
        <f t="shared" si="10"/>
        <v>0.15977397131123539</v>
      </c>
      <c r="L35" s="4">
        <f t="shared" si="11"/>
        <v>0.83990375383842497</v>
      </c>
      <c r="M35" s="4">
        <f t="shared" si="12"/>
        <v>1.8122345277925109</v>
      </c>
      <c r="N35" s="5"/>
      <c r="O35" s="5">
        <f t="shared" si="13"/>
        <v>8.6121706374764637E-12</v>
      </c>
      <c r="P35" s="5">
        <f t="shared" si="13"/>
        <v>2.2411037517440626E-10</v>
      </c>
      <c r="Q35" s="5">
        <f t="shared" si="13"/>
        <v>2.2365307433380988E-10</v>
      </c>
      <c r="R35" s="30">
        <f t="shared" si="14"/>
        <v>4.5637562014569262E-10</v>
      </c>
      <c r="S35" s="6"/>
      <c r="T35" s="5">
        <f t="shared" si="15"/>
        <v>3.0328255780480426E-12</v>
      </c>
      <c r="U35" s="5">
        <f t="shared" si="15"/>
        <v>1.15928231260971E-10</v>
      </c>
      <c r="V35" s="5">
        <f t="shared" si="15"/>
        <v>2.2365307433380988E-10</v>
      </c>
      <c r="W35" s="30">
        <f t="shared" si="16"/>
        <v>3.426141311728289E-10</v>
      </c>
      <c r="X35" s="11">
        <f t="shared" si="17"/>
        <v>1.3320396872815432</v>
      </c>
      <c r="Y35" s="33">
        <f t="shared" si="18"/>
        <v>0.23938888414702819</v>
      </c>
      <c r="Z35" s="4">
        <f t="shared" si="19"/>
        <v>0.96102882320046468</v>
      </c>
      <c r="AA35" s="4">
        <f t="shared" si="4"/>
        <v>1.8800528532329919</v>
      </c>
    </row>
    <row r="36" spans="1:27" x14ac:dyDescent="0.2">
      <c r="A36" s="13">
        <v>0.08</v>
      </c>
      <c r="C36" s="5">
        <f t="shared" si="5"/>
        <v>2.3233963903727795E-10</v>
      </c>
      <c r="D36" s="5">
        <f t="shared" si="5"/>
        <v>2.2491375925216734E-10</v>
      </c>
      <c r="E36" s="30">
        <f t="shared" si="6"/>
        <v>4.5725339828944529E-10</v>
      </c>
      <c r="F36" s="5"/>
      <c r="G36" s="5">
        <f t="shared" si="7"/>
        <v>1.0768083931751299E-10</v>
      </c>
      <c r="H36" s="5">
        <f t="shared" si="7"/>
        <v>2.2491375925216734E-10</v>
      </c>
      <c r="I36" s="30">
        <f t="shared" si="8"/>
        <v>3.3259459856968034E-10</v>
      </c>
      <c r="J36" s="11">
        <f t="shared" si="9"/>
        <v>1.3748070481476815</v>
      </c>
      <c r="K36" s="33">
        <f t="shared" si="10"/>
        <v>0.19662152328088989</v>
      </c>
      <c r="L36" s="4">
        <f t="shared" si="11"/>
        <v>0.96803868760457545</v>
      </c>
      <c r="M36" s="4">
        <f t="shared" si="12"/>
        <v>2.088707338071313</v>
      </c>
      <c r="N36" s="5"/>
      <c r="O36" s="5">
        <f t="shared" si="13"/>
        <v>1.0120091406379342E-11</v>
      </c>
      <c r="P36" s="5">
        <f t="shared" si="13"/>
        <v>2.533474500575521E-10</v>
      </c>
      <c r="Q36" s="5">
        <f t="shared" si="13"/>
        <v>2.8214884534507776E-10</v>
      </c>
      <c r="R36" s="30">
        <f t="shared" si="14"/>
        <v>5.4561638680900921E-10</v>
      </c>
      <c r="S36" s="6"/>
      <c r="T36" s="5">
        <f t="shared" si="15"/>
        <v>3.5638485767909676E-12</v>
      </c>
      <c r="U36" s="5">
        <f t="shared" si="15"/>
        <v>1.3105203967818493E-10</v>
      </c>
      <c r="V36" s="5">
        <f t="shared" si="15"/>
        <v>2.8214884534507776E-10</v>
      </c>
      <c r="W36" s="30">
        <f t="shared" si="16"/>
        <v>4.1676473360005365E-10</v>
      </c>
      <c r="X36" s="11">
        <f t="shared" si="17"/>
        <v>1.3091712009697238</v>
      </c>
      <c r="Y36" s="33">
        <f t="shared" si="18"/>
        <v>0.26225737045884756</v>
      </c>
      <c r="Z36" s="4">
        <f t="shared" si="19"/>
        <v>1.0709055232281952</v>
      </c>
      <c r="AA36" s="4">
        <f t="shared" si="4"/>
        <v>2.0959550094908543</v>
      </c>
    </row>
    <row r="37" spans="1:27" x14ac:dyDescent="0.2">
      <c r="A37" s="13">
        <v>8.5000000000000006E-2</v>
      </c>
      <c r="C37" s="5">
        <f t="shared" si="5"/>
        <v>2.5912863062601221E-10</v>
      </c>
      <c r="D37" s="5">
        <f t="shared" si="5"/>
        <v>2.8663668955231134E-10</v>
      </c>
      <c r="E37" s="30">
        <f t="shared" si="6"/>
        <v>5.457653201783235E-10</v>
      </c>
      <c r="F37" s="5"/>
      <c r="G37" s="5">
        <f t="shared" si="7"/>
        <v>1.2009654724706635E-10</v>
      </c>
      <c r="H37" s="5">
        <f t="shared" si="7"/>
        <v>2.8663668955231134E-10</v>
      </c>
      <c r="I37" s="30">
        <f t="shared" si="8"/>
        <v>4.0673323679937771E-10</v>
      </c>
      <c r="J37" s="11">
        <f t="shared" si="9"/>
        <v>1.3418262163008914</v>
      </c>
      <c r="K37" s="33">
        <f t="shared" si="10"/>
        <v>0.22960235512768001</v>
      </c>
      <c r="L37" s="4">
        <f t="shared" si="11"/>
        <v>1.1061560000523454</v>
      </c>
      <c r="M37" s="4">
        <f t="shared" si="12"/>
        <v>2.3867188201725189</v>
      </c>
      <c r="N37" s="5"/>
      <c r="O37" s="5">
        <f t="shared" si="13"/>
        <v>1.1776243631756646E-11</v>
      </c>
      <c r="P37" s="5">
        <f t="shared" si="13"/>
        <v>2.842768673834721E-10</v>
      </c>
      <c r="Q37" s="5">
        <f t="shared" si="13"/>
        <v>3.5096390752046334E-10</v>
      </c>
      <c r="R37" s="30">
        <f t="shared" si="14"/>
        <v>6.4701701853569207E-10</v>
      </c>
      <c r="S37" s="6"/>
      <c r="T37" s="5">
        <f t="shared" si="15"/>
        <v>4.1470721381551974E-12</v>
      </c>
      <c r="U37" s="5">
        <f t="shared" si="15"/>
        <v>1.470512661385216E-10</v>
      </c>
      <c r="V37" s="5">
        <f t="shared" si="15"/>
        <v>3.5096390752046334E-10</v>
      </c>
      <c r="W37" s="30">
        <f t="shared" si="16"/>
        <v>5.0216224579714012E-10</v>
      </c>
      <c r="X37" s="11">
        <f t="shared" si="17"/>
        <v>1.2884620935781568</v>
      </c>
      <c r="Y37" s="33">
        <f t="shared" si="18"/>
        <v>0.28296647785041462</v>
      </c>
      <c r="Z37" s="4">
        <f t="shared" si="19"/>
        <v>1.1854761678299339</v>
      </c>
      <c r="AA37" s="4">
        <f t="shared" si="4"/>
        <v>2.3212153752525833</v>
      </c>
    </row>
    <row r="38" spans="1:27" x14ac:dyDescent="0.2">
      <c r="A38" s="13">
        <v>0.09</v>
      </c>
      <c r="C38" s="5">
        <f t="shared" si="5"/>
        <v>2.872088715998579E-10</v>
      </c>
      <c r="D38" s="5">
        <f t="shared" si="5"/>
        <v>3.6026835313805413E-10</v>
      </c>
      <c r="E38" s="30">
        <f t="shared" si="6"/>
        <v>6.4747722473791203E-10</v>
      </c>
      <c r="F38" s="5"/>
      <c r="G38" s="5">
        <f t="shared" si="7"/>
        <v>1.3311070156369839E-10</v>
      </c>
      <c r="H38" s="5">
        <f t="shared" si="7"/>
        <v>3.6026835313805413E-10</v>
      </c>
      <c r="I38" s="30">
        <f t="shared" si="8"/>
        <v>4.9337905470175252E-10</v>
      </c>
      <c r="J38" s="11">
        <f t="shared" si="9"/>
        <v>1.3123322090138418</v>
      </c>
      <c r="K38" s="33">
        <f t="shared" si="10"/>
        <v>0.25909636241472955</v>
      </c>
      <c r="L38" s="4">
        <f t="shared" si="11"/>
        <v>1.2543775236859096</v>
      </c>
      <c r="M38" s="4">
        <f t="shared" si="12"/>
        <v>2.7065318483476886</v>
      </c>
      <c r="N38" s="5"/>
      <c r="O38" s="5">
        <f t="shared" si="13"/>
        <v>1.3585190766420974E-11</v>
      </c>
      <c r="P38" s="5">
        <f t="shared" si="13"/>
        <v>3.168883915386006E-10</v>
      </c>
      <c r="Q38" s="5">
        <f t="shared" si="13"/>
        <v>4.3114897516939582E-10</v>
      </c>
      <c r="R38" s="30">
        <f t="shared" si="14"/>
        <v>7.6162255747441734E-10</v>
      </c>
      <c r="S38" s="6"/>
      <c r="T38" s="5">
        <f t="shared" si="15"/>
        <v>4.7841033083776049E-12</v>
      </c>
      <c r="U38" s="5">
        <f t="shared" si="15"/>
        <v>1.6392061594477826E-10</v>
      </c>
      <c r="V38" s="5">
        <f t="shared" si="15"/>
        <v>4.3114897516939582E-10</v>
      </c>
      <c r="W38" s="30">
        <f t="shared" si="16"/>
        <v>5.998536944225517E-10</v>
      </c>
      <c r="X38" s="11">
        <f t="shared" si="17"/>
        <v>1.2696805313628887</v>
      </c>
      <c r="Y38" s="33">
        <f t="shared" si="18"/>
        <v>0.30174804006568268</v>
      </c>
      <c r="Z38" s="4">
        <f t="shared" si="19"/>
        <v>1.3046397601955746</v>
      </c>
      <c r="AA38" s="4">
        <f t="shared" si="4"/>
        <v>2.55564264638276</v>
      </c>
    </row>
    <row r="39" spans="1:27" x14ac:dyDescent="0.2">
      <c r="A39" s="13">
        <v>9.5000000000000001E-2</v>
      </c>
      <c r="C39" s="5">
        <f t="shared" si="5"/>
        <v>3.1656567529992048E-10</v>
      </c>
      <c r="D39" s="5">
        <f t="shared" si="5"/>
        <v>4.4725015288546295E-10</v>
      </c>
      <c r="E39" s="30">
        <f t="shared" si="6"/>
        <v>7.6381582818538348E-10</v>
      </c>
      <c r="F39" s="5"/>
      <c r="G39" s="5">
        <f t="shared" si="7"/>
        <v>1.467164955435841E-10</v>
      </c>
      <c r="H39" s="5">
        <f t="shared" si="7"/>
        <v>4.4725015288546295E-10</v>
      </c>
      <c r="I39" s="30">
        <f t="shared" si="8"/>
        <v>5.9396664842904705E-10</v>
      </c>
      <c r="J39" s="11">
        <f t="shared" si="9"/>
        <v>1.2859574358350963</v>
      </c>
      <c r="K39" s="33">
        <f t="shared" si="10"/>
        <v>0.28547113559347514</v>
      </c>
      <c r="L39" s="4">
        <f t="shared" si="11"/>
        <v>1.4128194803865879</v>
      </c>
      <c r="M39" s="4">
        <f t="shared" si="12"/>
        <v>3.0483971909798058</v>
      </c>
      <c r="N39" s="5"/>
      <c r="O39" s="5">
        <f t="shared" si="13"/>
        <v>1.555136379108255E-11</v>
      </c>
      <c r="P39" s="5">
        <f t="shared" si="13"/>
        <v>3.511724295540809E-10</v>
      </c>
      <c r="Q39" s="5">
        <f t="shared" si="13"/>
        <v>5.2379253324489121E-10</v>
      </c>
      <c r="R39" s="30">
        <f t="shared" si="14"/>
        <v>8.9051632659005466E-10</v>
      </c>
      <c r="S39" s="6"/>
      <c r="T39" s="5">
        <f t="shared" si="15"/>
        <v>5.4765024828799121E-12</v>
      </c>
      <c r="U39" s="5">
        <f t="shared" si="15"/>
        <v>1.8165512682820126E-10</v>
      </c>
      <c r="V39" s="5">
        <f t="shared" si="15"/>
        <v>5.2379253324489121E-10</v>
      </c>
      <c r="W39" s="30">
        <f t="shared" si="16"/>
        <v>7.1092416255597236E-10</v>
      </c>
      <c r="X39" s="11">
        <f t="shared" si="17"/>
        <v>1.2526178930090066</v>
      </c>
      <c r="Y39" s="33">
        <f t="shared" si="18"/>
        <v>0.31881067841956479</v>
      </c>
      <c r="Z39" s="4">
        <f t="shared" si="19"/>
        <v>1.4283025610827857</v>
      </c>
      <c r="AA39" s="4">
        <f t="shared" si="4"/>
        <v>2.7990593315155534</v>
      </c>
    </row>
    <row r="40" spans="1:27" x14ac:dyDescent="0.2">
      <c r="A40" s="13">
        <v>0.1</v>
      </c>
      <c r="C40" s="5">
        <f t="shared" si="5"/>
        <v>3.4718530405252478E-10</v>
      </c>
      <c r="D40" s="5">
        <f t="shared" si="5"/>
        <v>5.4910585754923687E-10</v>
      </c>
      <c r="E40" s="30">
        <f t="shared" si="6"/>
        <v>8.9629116160176165E-10</v>
      </c>
      <c r="F40" s="5"/>
      <c r="G40" s="5">
        <f t="shared" si="7"/>
        <v>1.60907562282489E-10</v>
      </c>
      <c r="H40" s="5">
        <f t="shared" si="7"/>
        <v>5.4910585754923687E-10</v>
      </c>
      <c r="I40" s="30">
        <f t="shared" si="8"/>
        <v>7.1001341983172587E-10</v>
      </c>
      <c r="J40" s="11">
        <f t="shared" si="9"/>
        <v>1.2623580577028866</v>
      </c>
      <c r="K40" s="33">
        <f t="shared" si="10"/>
        <v>0.30907051372568484</v>
      </c>
      <c r="L40" s="4">
        <f t="shared" si="11"/>
        <v>1.5815930315592046</v>
      </c>
      <c r="M40" s="4">
        <f t="shared" si="12"/>
        <v>3.4125546976171806</v>
      </c>
      <c r="N40" s="5"/>
      <c r="O40" s="5">
        <f t="shared" si="13"/>
        <v>1.7679072127481006E-11</v>
      </c>
      <c r="P40" s="5">
        <f t="shared" si="13"/>
        <v>3.8711995818448975E-10</v>
      </c>
      <c r="Q40" s="5">
        <f t="shared" si="13"/>
        <v>6.300199822840146E-10</v>
      </c>
      <c r="R40" s="30">
        <f t="shared" si="14"/>
        <v>1.0348190125959855E-9</v>
      </c>
      <c r="S40" s="6"/>
      <c r="T40" s="5">
        <f t="shared" si="15"/>
        <v>6.2257872493910104E-12</v>
      </c>
      <c r="U40" s="5">
        <f t="shared" si="15"/>
        <v>2.0025013122763314E-10</v>
      </c>
      <c r="V40" s="5">
        <f t="shared" si="15"/>
        <v>6.300199822840146E-10</v>
      </c>
      <c r="W40" s="30">
        <f t="shared" si="16"/>
        <v>8.3649590076103873E-10</v>
      </c>
      <c r="X40" s="11">
        <f t="shared" si="17"/>
        <v>1.2370879661867005</v>
      </c>
      <c r="Y40" s="33">
        <f t="shared" si="18"/>
        <v>0.33434060524187093</v>
      </c>
      <c r="Z40" s="4">
        <f t="shared" si="19"/>
        <v>1.5563772022834896</v>
      </c>
      <c r="AA40" s="4">
        <f t="shared" si="4"/>
        <v>3.0513000592566479</v>
      </c>
    </row>
    <row r="41" spans="1:27" x14ac:dyDescent="0.2">
      <c r="A41" s="13">
        <v>0.105</v>
      </c>
      <c r="C41" s="5">
        <f t="shared" si="5"/>
        <v>3.7905486242977112E-10</v>
      </c>
      <c r="D41" s="5">
        <f t="shared" si="5"/>
        <v>6.674416017627067E-10</v>
      </c>
      <c r="E41" s="30">
        <f t="shared" si="6"/>
        <v>1.0464964641924779E-9</v>
      </c>
      <c r="F41" s="5"/>
      <c r="G41" s="5">
        <f t="shared" si="7"/>
        <v>1.7567792522598033E-10</v>
      </c>
      <c r="H41" s="5">
        <f t="shared" si="7"/>
        <v>6.674416017627067E-10</v>
      </c>
      <c r="I41" s="30">
        <f t="shared" si="8"/>
        <v>8.4311952698868709E-10</v>
      </c>
      <c r="J41" s="11">
        <f t="shared" si="9"/>
        <v>1.2412195788302738</v>
      </c>
      <c r="K41" s="33">
        <f t="shared" si="10"/>
        <v>0.33020899259829761</v>
      </c>
      <c r="L41" s="4">
        <f t="shared" si="11"/>
        <v>1.7608047486433869</v>
      </c>
      <c r="M41" s="4">
        <f t="shared" si="12"/>
        <v>3.7992343141812182</v>
      </c>
      <c r="N41" s="5"/>
      <c r="O41" s="5">
        <f t="shared" si="13"/>
        <v>1.9972513130015622E-11</v>
      </c>
      <c r="P41" s="5">
        <f t="shared" si="13"/>
        <v>4.2472246258238948E-10</v>
      </c>
      <c r="Q41" s="5">
        <f t="shared" si="13"/>
        <v>7.5099284753974668E-10</v>
      </c>
      <c r="R41" s="30">
        <f t="shared" si="14"/>
        <v>1.1956878232521518E-9</v>
      </c>
      <c r="S41" s="6"/>
      <c r="T41" s="5">
        <f t="shared" si="15"/>
        <v>7.0334357304793105E-12</v>
      </c>
      <c r="U41" s="5">
        <f t="shared" si="15"/>
        <v>2.1970122456697098E-10</v>
      </c>
      <c r="V41" s="5">
        <f t="shared" si="15"/>
        <v>7.5099284753974668E-10</v>
      </c>
      <c r="W41" s="30">
        <f t="shared" si="16"/>
        <v>9.7772750783719687E-10</v>
      </c>
      <c r="X41" s="11">
        <f t="shared" si="17"/>
        <v>1.2229254200867261</v>
      </c>
      <c r="Y41" s="33">
        <f t="shared" si="18"/>
        <v>0.34850315134184529</v>
      </c>
      <c r="Z41" s="4">
        <f t="shared" si="19"/>
        <v>1.6887819484280204</v>
      </c>
      <c r="AA41" s="4">
        <f t="shared" si="4"/>
        <v>3.3122101691665877</v>
      </c>
    </row>
    <row r="42" spans="1:27" x14ac:dyDescent="0.2">
      <c r="A42" s="13">
        <v>0.11</v>
      </c>
      <c r="C42" s="5">
        <f t="shared" si="5"/>
        <v>4.1216220713283729E-10</v>
      </c>
      <c r="D42" s="5">
        <f t="shared" si="5"/>
        <v>8.0394588603783743E-10</v>
      </c>
      <c r="E42" s="30">
        <f t="shared" si="6"/>
        <v>1.2161080931706747E-9</v>
      </c>
      <c r="F42" s="5"/>
      <c r="G42" s="5">
        <f t="shared" si="7"/>
        <v>1.9102195640366667E-10</v>
      </c>
      <c r="H42" s="5">
        <f t="shared" si="7"/>
        <v>8.0394588603783743E-10</v>
      </c>
      <c r="I42" s="30">
        <f t="shared" si="8"/>
        <v>9.9496784244150404E-10</v>
      </c>
      <c r="J42" s="11">
        <f t="shared" si="9"/>
        <v>1.2222586914834606</v>
      </c>
      <c r="K42" s="33">
        <f t="shared" si="10"/>
        <v>0.34916987994511084</v>
      </c>
      <c r="L42" s="4">
        <f t="shared" si="11"/>
        <v>1.9505570188746848</v>
      </c>
      <c r="M42" s="4">
        <f t="shared" si="12"/>
        <v>4.2086569584647266</v>
      </c>
      <c r="N42" s="5"/>
      <c r="O42" s="5">
        <f t="shared" si="13"/>
        <v>2.2435780402435849E-11</v>
      </c>
      <c r="P42" s="5">
        <f t="shared" si="13"/>
        <v>4.6397188424758739E-10</v>
      </c>
      <c r="Q42" s="5">
        <f t="shared" si="13"/>
        <v>8.8790804445572319E-10</v>
      </c>
      <c r="R42" s="30">
        <f t="shared" si="14"/>
        <v>1.3743157091057464E-9</v>
      </c>
      <c r="S42" s="6"/>
      <c r="T42" s="5">
        <f t="shared" si="15"/>
        <v>7.9008895123232976E-12</v>
      </c>
      <c r="U42" s="5">
        <f t="shared" si="15"/>
        <v>2.4000423833026264E-10</v>
      </c>
      <c r="V42" s="5">
        <f t="shared" si="15"/>
        <v>8.8790804445572319E-10</v>
      </c>
      <c r="W42" s="30">
        <f t="shared" si="16"/>
        <v>1.1358131722983092E-9</v>
      </c>
      <c r="X42" s="11">
        <f t="shared" si="17"/>
        <v>1.2099839503752445</v>
      </c>
      <c r="Y42" s="33">
        <f t="shared" si="18"/>
        <v>0.36144462105332686</v>
      </c>
      <c r="Z42" s="4">
        <f t="shared" si="19"/>
        <v>1.8254400762672702</v>
      </c>
      <c r="AA42" s="4">
        <f t="shared" si="4"/>
        <v>3.5816445274158446</v>
      </c>
    </row>
    <row r="43" spans="1:27" x14ac:dyDescent="0.2">
      <c r="A43" s="13">
        <v>0.115</v>
      </c>
      <c r="C43" s="5">
        <f t="shared" si="5"/>
        <v>4.4649587025641215E-10</v>
      </c>
      <c r="D43" s="5">
        <f t="shared" si="5"/>
        <v>9.6038957676522462E-10</v>
      </c>
      <c r="E43" s="30">
        <f t="shared" si="6"/>
        <v>1.4068854470216368E-9</v>
      </c>
      <c r="F43" s="5"/>
      <c r="G43" s="5">
        <f t="shared" si="7"/>
        <v>2.0693434086509772E-10</v>
      </c>
      <c r="H43" s="5">
        <f t="shared" si="7"/>
        <v>9.6038957676522462E-10</v>
      </c>
      <c r="I43" s="30">
        <f t="shared" si="8"/>
        <v>1.1673239176303223E-9</v>
      </c>
      <c r="J43" s="11">
        <f t="shared" si="9"/>
        <v>1.2052228398417695</v>
      </c>
      <c r="K43" s="33">
        <f t="shared" si="10"/>
        <v>0.36620573158680192</v>
      </c>
      <c r="L43" s="4">
        <f t="shared" si="11"/>
        <v>2.1509483978288428</v>
      </c>
      <c r="M43" s="4">
        <f t="shared" si="12"/>
        <v>4.6410352808058617</v>
      </c>
      <c r="N43" s="5"/>
      <c r="O43" s="5">
        <f t="shared" ref="O43:Q58" si="20">O$11*O$17*O$13^O$14*$A43^O$8</f>
        <v>2.5072871133730652E-11</v>
      </c>
      <c r="P43" s="5">
        <f t="shared" si="20"/>
        <v>5.0486057648131331E-10</v>
      </c>
      <c r="Q43" s="5">
        <f t="shared" si="20"/>
        <v>1.0419971939300474E-9</v>
      </c>
      <c r="R43" s="30">
        <f t="shared" si="14"/>
        <v>1.5719306415450914E-9</v>
      </c>
      <c r="S43" s="6"/>
      <c r="T43" s="5">
        <f t="shared" ref="T43:V58" si="21">T$11*T$17*T$13^T$14*$A43^T$8</f>
        <v>8.8295562280872836E-12</v>
      </c>
      <c r="U43" s="5">
        <f t="shared" si="21"/>
        <v>2.6115521701896092E-10</v>
      </c>
      <c r="V43" s="5">
        <f t="shared" si="21"/>
        <v>1.0419971939300474E-9</v>
      </c>
      <c r="W43" s="30">
        <f t="shared" si="16"/>
        <v>1.3119819671770956E-9</v>
      </c>
      <c r="X43" s="11">
        <f t="shared" si="17"/>
        <v>1.1981343348242126</v>
      </c>
      <c r="Y43" s="33">
        <f t="shared" si="18"/>
        <v>0.37329423660435879</v>
      </c>
      <c r="Z43" s="4">
        <f t="shared" si="19"/>
        <v>1.9662793481323688</v>
      </c>
      <c r="AA43" s="4">
        <f t="shared" si="4"/>
        <v>3.859466522493745</v>
      </c>
    </row>
    <row r="44" spans="1:27" x14ac:dyDescent="0.2">
      <c r="A44" s="13">
        <v>0.12</v>
      </c>
      <c r="C44" s="5">
        <f t="shared" si="5"/>
        <v>4.8204499344093685E-10</v>
      </c>
      <c r="D44" s="5">
        <f t="shared" si="5"/>
        <v>1.1386259062140971E-9</v>
      </c>
      <c r="E44" s="30">
        <f t="shared" si="6"/>
        <v>1.6206708996550341E-9</v>
      </c>
      <c r="F44" s="5"/>
      <c r="G44" s="5">
        <f t="shared" si="7"/>
        <v>2.2341004616176085E-10</v>
      </c>
      <c r="H44" s="5">
        <f t="shared" si="7"/>
        <v>1.1386259062140971E-9</v>
      </c>
      <c r="I44" s="30">
        <f t="shared" si="8"/>
        <v>1.3620359523758579E-9</v>
      </c>
      <c r="J44" s="11">
        <f t="shared" si="9"/>
        <v>1.189888487765707</v>
      </c>
      <c r="K44" s="33">
        <f t="shared" si="10"/>
        <v>0.3815400836628644</v>
      </c>
      <c r="L44" s="4">
        <f t="shared" si="11"/>
        <v>2.3620739178024648</v>
      </c>
      <c r="M44" s="4">
        <f t="shared" si="12"/>
        <v>5.0965743294716068</v>
      </c>
      <c r="N44" s="5"/>
      <c r="O44" s="5">
        <f t="shared" si="20"/>
        <v>2.7887692607948688E-11</v>
      </c>
      <c r="P44" s="5">
        <f t="shared" si="20"/>
        <v>5.4738126597711803E-10</v>
      </c>
      <c r="Q44" s="5">
        <f t="shared" si="20"/>
        <v>1.2145259818453157E-9</v>
      </c>
      <c r="R44" s="30">
        <f t="shared" si="14"/>
        <v>1.7897949404303824E-9</v>
      </c>
      <c r="S44" s="6"/>
      <c r="T44" s="5">
        <f t="shared" si="21"/>
        <v>9.8208118503921417E-12</v>
      </c>
      <c r="U44" s="5">
        <f t="shared" si="21"/>
        <v>2.8315039828359224E-10</v>
      </c>
      <c r="V44" s="5">
        <f t="shared" si="21"/>
        <v>1.2145259818453157E-9</v>
      </c>
      <c r="W44" s="30">
        <f t="shared" si="16"/>
        <v>1.5074971919793E-9</v>
      </c>
      <c r="X44" s="11">
        <f t="shared" si="17"/>
        <v>1.1872625368412353</v>
      </c>
      <c r="Y44" s="33">
        <f t="shared" si="18"/>
        <v>0.38416603458733611</v>
      </c>
      <c r="Z44" s="4">
        <f t="shared" si="19"/>
        <v>2.1112315617247406</v>
      </c>
      <c r="AA44" s="4">
        <f t="shared" si="4"/>
        <v>4.1455472068053281</v>
      </c>
    </row>
    <row r="45" spans="1:27" x14ac:dyDescent="0.2">
      <c r="A45" s="13">
        <v>0.125</v>
      </c>
      <c r="C45" s="5">
        <f t="shared" si="5"/>
        <v>5.1879927097030639E-10</v>
      </c>
      <c r="D45" s="5">
        <f t="shared" si="5"/>
        <v>1.3405904725323161E-9</v>
      </c>
      <c r="E45" s="30">
        <f t="shared" ref="E45:E55" si="22">C45+D45</f>
        <v>1.8593897435026225E-9</v>
      </c>
      <c r="F45" s="5"/>
      <c r="G45" s="5">
        <f t="shared" si="7"/>
        <v>2.4044429597496781E-10</v>
      </c>
      <c r="H45" s="5">
        <f t="shared" si="7"/>
        <v>1.3405904725323161E-9</v>
      </c>
      <c r="I45" s="30">
        <f t="shared" ref="I45:I55" si="23">G45+H45</f>
        <v>1.5810347685072839E-9</v>
      </c>
      <c r="J45" s="11">
        <f t="shared" ref="J45:J55" si="24">E45/I45</f>
        <v>1.1760587309905552</v>
      </c>
      <c r="K45" s="33">
        <f t="shared" si="10"/>
        <v>0.39536984043801615</v>
      </c>
      <c r="L45" s="4">
        <f t="shared" ref="L45:L55" si="25">D45/C45</f>
        <v>2.5840253592203779</v>
      </c>
      <c r="M45" s="4">
        <f t="shared" ref="M45:M55" si="26">H45/G45</f>
        <v>5.5754721362651178</v>
      </c>
      <c r="N45" s="5"/>
      <c r="O45" s="5">
        <f t="shared" si="20"/>
        <v>3.0884068012632292E-11</v>
      </c>
      <c r="P45" s="5">
        <f t="shared" si="20"/>
        <v>5.9152701947746999E-10</v>
      </c>
      <c r="Q45" s="5">
        <f t="shared" si="20"/>
        <v>1.4067935581720928E-9</v>
      </c>
      <c r="R45" s="30">
        <f t="shared" ref="R45:R55" si="27">SUM(O45:Q45)</f>
        <v>2.0292046456621952E-9</v>
      </c>
      <c r="S45" s="6"/>
      <c r="T45" s="5">
        <f t="shared" si="21"/>
        <v>1.0876002736788848E-11</v>
      </c>
      <c r="U45" s="5">
        <f t="shared" si="21"/>
        <v>3.0598619567581882E-10</v>
      </c>
      <c r="V45" s="5">
        <f t="shared" si="21"/>
        <v>1.4067935581720928E-9</v>
      </c>
      <c r="W45" s="30">
        <f t="shared" ref="W45:W55" si="28">SUM(T45:V45)</f>
        <v>1.7236557565847005E-9</v>
      </c>
      <c r="X45" s="11">
        <f t="shared" ref="X45:X55" si="29">R45/W45</f>
        <v>1.1772679306237563</v>
      </c>
      <c r="Y45" s="33">
        <f t="shared" si="18"/>
        <v>0.39416064080481505</v>
      </c>
      <c r="Z45" s="4">
        <f t="shared" ref="Z45:Z55" si="30">Q45/(SUM(O45:P45))</f>
        <v>2.2602321623881161</v>
      </c>
      <c r="AA45" s="4">
        <f t="shared" ref="AA45:AA55" si="31">V45/(SUM(T45:U45))</f>
        <v>4.4397645576523201</v>
      </c>
    </row>
    <row r="46" spans="1:27" x14ac:dyDescent="0.2">
      <c r="A46" s="13">
        <v>0.13</v>
      </c>
      <c r="C46" s="5">
        <f t="shared" ref="C46:D61" si="32">C$11*C$17*C$13^C$14*$A46^C$8</f>
        <v>5.5674890028439434E-10</v>
      </c>
      <c r="D46" s="5">
        <f t="shared" si="32"/>
        <v>1.568301239746375E-9</v>
      </c>
      <c r="E46" s="30">
        <f t="shared" si="22"/>
        <v>2.1250501400307695E-9</v>
      </c>
      <c r="F46" s="5"/>
      <c r="G46" s="5">
        <f t="shared" ref="G46:H61" si="33">G$11*G$17*G$13^G$14*$A46^G$8</f>
        <v>2.580325471802382E-10</v>
      </c>
      <c r="H46" s="5">
        <f t="shared" si="33"/>
        <v>1.568301239746375E-9</v>
      </c>
      <c r="I46" s="30">
        <f t="shared" si="23"/>
        <v>1.8263337869266133E-9</v>
      </c>
      <c r="J46" s="11">
        <f t="shared" si="24"/>
        <v>1.1635606564596503</v>
      </c>
      <c r="K46" s="33">
        <f t="shared" si="10"/>
        <v>0.40786791496892105</v>
      </c>
      <c r="L46" s="4">
        <f t="shared" si="25"/>
        <v>2.8168914908413236</v>
      </c>
      <c r="M46" s="4">
        <f t="shared" si="26"/>
        <v>6.0779202348101524</v>
      </c>
      <c r="N46" s="5"/>
      <c r="O46" s="5">
        <f t="shared" si="20"/>
        <v>3.406574164734216E-11</v>
      </c>
      <c r="P46" s="5">
        <f t="shared" si="20"/>
        <v>6.3729121464815471E-10</v>
      </c>
      <c r="Q46" s="5">
        <f t="shared" si="20"/>
        <v>1.6201319716285751E-9</v>
      </c>
      <c r="R46" s="30">
        <f t="shared" si="27"/>
        <v>2.2914889279240719E-9</v>
      </c>
      <c r="S46" s="6"/>
      <c r="T46" s="5">
        <f t="shared" si="21"/>
        <v>1.1996447463970502E-11</v>
      </c>
      <c r="U46" s="5">
        <f t="shared" si="21"/>
        <v>3.2965918358229408E-10</v>
      </c>
      <c r="V46" s="5">
        <f t="shared" si="21"/>
        <v>1.6201319716285751E-9</v>
      </c>
      <c r="W46" s="30">
        <f t="shared" si="28"/>
        <v>1.9617876026748396E-9</v>
      </c>
      <c r="X46" s="11">
        <f t="shared" si="29"/>
        <v>1.1680616825183798</v>
      </c>
      <c r="Y46" s="33">
        <f t="shared" si="18"/>
        <v>0.40336688891019157</v>
      </c>
      <c r="Z46" s="4">
        <f t="shared" si="30"/>
        <v>2.4132199069900993</v>
      </c>
      <c r="AA46" s="4">
        <f t="shared" si="31"/>
        <v>4.7420028367955931</v>
      </c>
    </row>
    <row r="47" spans="1:27" x14ac:dyDescent="0.2">
      <c r="A47" s="13">
        <v>0.13500000000000001</v>
      </c>
      <c r="C47" s="5">
        <f t="shared" si="32"/>
        <v>5.9588453868742947E-10</v>
      </c>
      <c r="D47" s="5">
        <f t="shared" si="32"/>
        <v>1.8238585377613997E-9</v>
      </c>
      <c r="E47" s="30">
        <f t="shared" si="22"/>
        <v>2.4197430764488291E-9</v>
      </c>
      <c r="F47" s="5"/>
      <c r="G47" s="5">
        <f t="shared" si="33"/>
        <v>2.7617046978323134E-10</v>
      </c>
      <c r="H47" s="5">
        <f t="shared" si="33"/>
        <v>1.8238585377613997E-9</v>
      </c>
      <c r="I47" s="30">
        <f t="shared" si="23"/>
        <v>2.1000290075446312E-9</v>
      </c>
      <c r="J47" s="11">
        <f t="shared" si="24"/>
        <v>1.1522426917702484</v>
      </c>
      <c r="K47" s="33">
        <f t="shared" si="10"/>
        <v>0.41918587965832299</v>
      </c>
      <c r="L47" s="4">
        <f t="shared" si="25"/>
        <v>3.0607582834400451</v>
      </c>
      <c r="M47" s="4">
        <f t="shared" si="26"/>
        <v>6.6041041216063485</v>
      </c>
      <c r="N47" s="5"/>
      <c r="O47" s="5">
        <f t="shared" si="20"/>
        <v>3.7436383615613533E-11</v>
      </c>
      <c r="P47" s="5">
        <f t="shared" si="20"/>
        <v>6.846675144922427E-10</v>
      </c>
      <c r="Q47" s="5">
        <f t="shared" si="20"/>
        <v>1.8559056364337746E-9</v>
      </c>
      <c r="R47" s="30">
        <f t="shared" si="27"/>
        <v>2.5780095345416311E-9</v>
      </c>
      <c r="S47" s="6"/>
      <c r="T47" s="5">
        <f t="shared" si="21"/>
        <v>1.3183438480071764E-11</v>
      </c>
      <c r="U47" s="5">
        <f t="shared" si="21"/>
        <v>3.5416608398947233E-10</v>
      </c>
      <c r="V47" s="5">
        <f t="shared" si="21"/>
        <v>1.8559056364337746E-9</v>
      </c>
      <c r="W47" s="30">
        <f t="shared" si="28"/>
        <v>2.2232551589033185E-9</v>
      </c>
      <c r="X47" s="11">
        <f t="shared" si="29"/>
        <v>1.1595652996542714</v>
      </c>
      <c r="Y47" s="33">
        <f t="shared" si="18"/>
        <v>0.41186327177430004</v>
      </c>
      <c r="Z47" s="4">
        <f t="shared" si="30"/>
        <v>2.5701365707855097</v>
      </c>
      <c r="AA47" s="4">
        <f t="shared" si="31"/>
        <v>5.0521520320953801</v>
      </c>
    </row>
    <row r="48" spans="1:27" x14ac:dyDescent="0.2">
      <c r="A48" s="13">
        <v>0.14000000000000001</v>
      </c>
      <c r="C48" s="5">
        <f t="shared" si="32"/>
        <v>6.3619726527209636E-10</v>
      </c>
      <c r="D48" s="5">
        <f t="shared" si="32"/>
        <v>2.1094450623611481E-9</v>
      </c>
      <c r="E48" s="30">
        <f t="shared" si="22"/>
        <v>2.7456423276332442E-9</v>
      </c>
      <c r="F48" s="5"/>
      <c r="G48" s="5">
        <f t="shared" si="33"/>
        <v>2.9485392927297369E-10</v>
      </c>
      <c r="H48" s="5">
        <f t="shared" si="33"/>
        <v>2.1094450623611481E-9</v>
      </c>
      <c r="I48" s="30">
        <f t="shared" si="23"/>
        <v>2.4042989916341217E-9</v>
      </c>
      <c r="J48" s="11">
        <f t="shared" si="24"/>
        <v>1.1419720830008429</v>
      </c>
      <c r="K48" s="33">
        <f t="shared" si="10"/>
        <v>0.42945648842772854</v>
      </c>
      <c r="L48" s="4">
        <f t="shared" si="25"/>
        <v>3.3157091007911763</v>
      </c>
      <c r="M48" s="4">
        <f t="shared" si="26"/>
        <v>7.1542036681092984</v>
      </c>
      <c r="N48" s="5"/>
      <c r="O48" s="5">
        <f t="shared" si="20"/>
        <v>4.0999594069361297E-11</v>
      </c>
      <c r="P48" s="5">
        <f t="shared" si="20"/>
        <v>7.3364984475598283E-10</v>
      </c>
      <c r="Q48" s="5">
        <f t="shared" si="20"/>
        <v>2.1155108281508998E-9</v>
      </c>
      <c r="R48" s="30">
        <f t="shared" si="27"/>
        <v>2.8901602669762438E-9</v>
      </c>
      <c r="S48" s="6"/>
      <c r="T48" s="5">
        <f t="shared" si="21"/>
        <v>1.4438243599360591E-11</v>
      </c>
      <c r="U48" s="5">
        <f t="shared" si="21"/>
        <v>3.7950375479608748E-10</v>
      </c>
      <c r="V48" s="5">
        <f t="shared" si="21"/>
        <v>2.1155108281508998E-9</v>
      </c>
      <c r="W48" s="30">
        <f t="shared" si="28"/>
        <v>2.5094528265463479E-9</v>
      </c>
      <c r="X48" s="11">
        <f t="shared" si="29"/>
        <v>1.1517093433287795</v>
      </c>
      <c r="Y48" s="33">
        <f t="shared" si="18"/>
        <v>0.4197192280997919</v>
      </c>
      <c r="Z48" s="4">
        <f t="shared" si="30"/>
        <v>2.7309266903475704</v>
      </c>
      <c r="AA48" s="4">
        <f t="shared" si="31"/>
        <v>5.3701073680072602</v>
      </c>
    </row>
    <row r="49" spans="1:29" x14ac:dyDescent="0.2">
      <c r="A49" s="13">
        <v>0.14499999999999999</v>
      </c>
      <c r="C49" s="5">
        <f t="shared" si="32"/>
        <v>6.7767854726429144E-10</v>
      </c>
      <c r="D49" s="5">
        <f t="shared" si="32"/>
        <v>2.4273258752080099E-9</v>
      </c>
      <c r="E49" s="30">
        <f t="shared" si="22"/>
        <v>3.1050044224723012E-9</v>
      </c>
      <c r="F49" s="5"/>
      <c r="G49" s="5">
        <f t="shared" si="33"/>
        <v>3.1407897102389649E-10</v>
      </c>
      <c r="H49" s="5">
        <f t="shared" si="33"/>
        <v>2.4273258752080099E-9</v>
      </c>
      <c r="I49" s="30">
        <f t="shared" si="23"/>
        <v>2.7414048462319065E-9</v>
      </c>
      <c r="J49" s="11">
        <f t="shared" si="24"/>
        <v>1.132632572215726</v>
      </c>
      <c r="K49" s="33">
        <f t="shared" si="10"/>
        <v>0.4387959992128454</v>
      </c>
      <c r="L49" s="4">
        <f t="shared" si="25"/>
        <v>3.5818248711086382</v>
      </c>
      <c r="M49" s="4">
        <f t="shared" si="26"/>
        <v>7.7283934906400606</v>
      </c>
      <c r="N49" s="5"/>
      <c r="O49" s="5">
        <f t="shared" si="20"/>
        <v>4.4758907063326238E-11</v>
      </c>
      <c r="P49" s="5">
        <f t="shared" si="20"/>
        <v>7.8423237388058084E-10</v>
      </c>
      <c r="Q49" s="5">
        <f t="shared" si="20"/>
        <v>2.4003752060010821E-9</v>
      </c>
      <c r="R49" s="30">
        <f t="shared" si="27"/>
        <v>3.2293664869449894E-9</v>
      </c>
      <c r="S49" s="6"/>
      <c r="T49" s="5">
        <f t="shared" si="21"/>
        <v>1.576210735960374E-11</v>
      </c>
      <c r="U49" s="5">
        <f t="shared" si="21"/>
        <v>4.0566917944257154E-10</v>
      </c>
      <c r="V49" s="5">
        <f t="shared" si="21"/>
        <v>2.4003752060010821E-9</v>
      </c>
      <c r="W49" s="30">
        <f t="shared" si="28"/>
        <v>2.8218064928032573E-9</v>
      </c>
      <c r="X49" s="11">
        <f t="shared" si="29"/>
        <v>1.1444322972468786</v>
      </c>
      <c r="Y49" s="33">
        <f t="shared" si="18"/>
        <v>0.42699627418169284</v>
      </c>
      <c r="Z49" s="4">
        <f t="shared" si="30"/>
        <v>2.8955373369765285</v>
      </c>
      <c r="AA49" s="4">
        <f t="shared" si="31"/>
        <v>5.6957688742455561</v>
      </c>
    </row>
    <row r="50" spans="1:29" x14ac:dyDescent="0.2">
      <c r="A50" s="13">
        <v>0.15</v>
      </c>
      <c r="C50" s="5">
        <f t="shared" si="32"/>
        <v>7.2032021013829969E-10</v>
      </c>
      <c r="D50" s="5">
        <f t="shared" si="32"/>
        <v>2.7798484038430104E-9</v>
      </c>
      <c r="E50" s="30">
        <f t="shared" si="22"/>
        <v>3.5001686139813102E-9</v>
      </c>
      <c r="F50" s="5"/>
      <c r="G50" s="5">
        <f t="shared" si="33"/>
        <v>3.3384180644532419E-10</v>
      </c>
      <c r="H50" s="5">
        <f t="shared" si="33"/>
        <v>2.7798484038430104E-9</v>
      </c>
      <c r="I50" s="30">
        <f t="shared" si="23"/>
        <v>3.1136902102883346E-9</v>
      </c>
      <c r="J50" s="11">
        <f t="shared" si="24"/>
        <v>1.1241223042729054</v>
      </c>
      <c r="K50" s="33">
        <f t="shared" si="10"/>
        <v>0.44730626715566602</v>
      </c>
      <c r="L50" s="4">
        <f t="shared" si="25"/>
        <v>3.8591842415601341</v>
      </c>
      <c r="M50" s="4">
        <f t="shared" si="26"/>
        <v>8.3268432837763449</v>
      </c>
      <c r="N50" s="5"/>
      <c r="O50" s="5">
        <f t="shared" si="20"/>
        <v>4.8717794067962252E-11</v>
      </c>
      <c r="P50" s="5">
        <f t="shared" si="20"/>
        <v>8.3640949513364988E-10</v>
      </c>
      <c r="Q50" s="5">
        <f t="shared" si="20"/>
        <v>2.7119573593498956E-9</v>
      </c>
      <c r="R50" s="30">
        <f t="shared" si="27"/>
        <v>3.5970846485515079E-9</v>
      </c>
      <c r="S50" s="6"/>
      <c r="T50" s="5">
        <f t="shared" si="21"/>
        <v>1.7156252259150261E-11</v>
      </c>
      <c r="U50" s="5">
        <f t="shared" si="21"/>
        <v>4.326594576679783E-10</v>
      </c>
      <c r="V50" s="5">
        <f t="shared" si="21"/>
        <v>2.7119573593498956E-9</v>
      </c>
      <c r="W50" s="30">
        <f t="shared" si="28"/>
        <v>3.161773069277024E-9</v>
      </c>
      <c r="X50" s="11">
        <f t="shared" si="29"/>
        <v>1.1376795771664989</v>
      </c>
      <c r="Y50" s="33">
        <f t="shared" si="18"/>
        <v>0.43374899426207247</v>
      </c>
      <c r="Z50" s="4">
        <f t="shared" si="30"/>
        <v>3.0639179160277505</v>
      </c>
      <c r="AA50" s="4">
        <f t="shared" si="31"/>
        <v>6.029041003901888</v>
      </c>
    </row>
    <row r="51" spans="1:29" x14ac:dyDescent="0.2">
      <c r="A51" s="13">
        <v>0.155</v>
      </c>
      <c r="C51" s="5">
        <f t="shared" si="32"/>
        <v>7.6411441096659525E-10</v>
      </c>
      <c r="D51" s="5">
        <f t="shared" si="32"/>
        <v>3.1694424416858039E-9</v>
      </c>
      <c r="E51" s="30">
        <f t="shared" si="22"/>
        <v>3.9335568526523993E-9</v>
      </c>
      <c r="F51" s="5"/>
      <c r="G51" s="5">
        <f t="shared" si="33"/>
        <v>3.5413880063009161E-10</v>
      </c>
      <c r="H51" s="5">
        <f t="shared" si="33"/>
        <v>3.1694424416858039E-9</v>
      </c>
      <c r="I51" s="30">
        <f t="shared" si="23"/>
        <v>3.5235812423158953E-9</v>
      </c>
      <c r="J51" s="11">
        <f t="shared" si="24"/>
        <v>1.1163519675417062</v>
      </c>
      <c r="K51" s="33">
        <f t="shared" si="10"/>
        <v>0.45507660388686522</v>
      </c>
      <c r="L51" s="4">
        <f t="shared" si="25"/>
        <v>4.1478637180477964</v>
      </c>
      <c r="M51" s="4">
        <f t="shared" si="26"/>
        <v>8.9497181219529232</v>
      </c>
      <c r="N51" s="5"/>
      <c r="O51" s="5">
        <f t="shared" si="20"/>
        <v>5.2879667181700643E-11</v>
      </c>
      <c r="P51" s="5">
        <f t="shared" si="20"/>
        <v>8.9017581061744987E-10</v>
      </c>
      <c r="Q51" s="5">
        <f t="shared" si="20"/>
        <v>3.0517463763418706E-9</v>
      </c>
      <c r="R51" s="30">
        <f t="shared" si="27"/>
        <v>3.9948018541410209E-9</v>
      </c>
      <c r="S51" s="6"/>
      <c r="T51" s="5">
        <f t="shared" si="21"/>
        <v>1.8621879888148889E-11</v>
      </c>
      <c r="U51" s="5">
        <f t="shared" si="21"/>
        <v>4.6047179723773557E-10</v>
      </c>
      <c r="V51" s="5">
        <f t="shared" si="21"/>
        <v>3.0517463763418706E-9</v>
      </c>
      <c r="W51" s="30">
        <f t="shared" si="28"/>
        <v>3.5308400534677552E-9</v>
      </c>
      <c r="X51" s="11">
        <f t="shared" si="29"/>
        <v>1.1314026672540982</v>
      </c>
      <c r="Y51" s="33">
        <f t="shared" si="18"/>
        <v>0.44002590417447318</v>
      </c>
      <c r="Z51" s="4">
        <f t="shared" si="30"/>
        <v>3.2360199884145349</v>
      </c>
      <c r="AA51" s="4">
        <f t="shared" si="31"/>
        <v>6.3698322938626628</v>
      </c>
    </row>
    <row r="52" spans="1:29" x14ac:dyDescent="0.2">
      <c r="A52" s="24">
        <v>0.16</v>
      </c>
      <c r="C52" s="5">
        <f t="shared" si="32"/>
        <v>8.0905361455968234E-10</v>
      </c>
      <c r="D52" s="5">
        <f t="shared" si="32"/>
        <v>3.5986201480346774E-9</v>
      </c>
      <c r="E52" s="30">
        <f t="shared" si="22"/>
        <v>4.4076737625943599E-9</v>
      </c>
      <c r="F52" s="5"/>
      <c r="G52" s="5">
        <f t="shared" si="33"/>
        <v>3.749664612962417E-10</v>
      </c>
      <c r="H52" s="5">
        <f t="shared" si="33"/>
        <v>3.5986201480346774E-9</v>
      </c>
      <c r="I52" s="30">
        <f t="shared" si="23"/>
        <v>3.9735866093309194E-9</v>
      </c>
      <c r="J52" s="11">
        <f t="shared" si="24"/>
        <v>1.1092431588741771</v>
      </c>
      <c r="K52" s="33">
        <f t="shared" si="10"/>
        <v>0.46218541255439427</v>
      </c>
      <c r="L52" s="4">
        <f t="shared" si="25"/>
        <v>4.4479377920994558</v>
      </c>
      <c r="M52" s="4">
        <f t="shared" si="26"/>
        <v>9.5971787332510061</v>
      </c>
      <c r="N52" s="5"/>
      <c r="O52" s="5">
        <f t="shared" si="20"/>
        <v>5.7247882077428314E-11</v>
      </c>
      <c r="P52" s="5">
        <f t="shared" si="20"/>
        <v>9.4552611690167944E-10</v>
      </c>
      <c r="Q52" s="5">
        <f t="shared" si="20"/>
        <v>3.4212614328905204E-9</v>
      </c>
      <c r="R52" s="30">
        <f t="shared" si="27"/>
        <v>4.424035431869628E-9</v>
      </c>
      <c r="S52" s="6"/>
      <c r="T52" s="5">
        <f t="shared" si="21"/>
        <v>2.016017196616736E-11</v>
      </c>
      <c r="U52" s="5">
        <f t="shared" si="21"/>
        <v>4.8910350651174929E-10</v>
      </c>
      <c r="V52" s="5">
        <f t="shared" si="21"/>
        <v>3.4212614328905204E-9</v>
      </c>
      <c r="W52" s="30">
        <f t="shared" si="28"/>
        <v>3.9305251113684367E-9</v>
      </c>
      <c r="X52" s="11">
        <f t="shared" si="29"/>
        <v>1.1255583685431214</v>
      </c>
      <c r="Y52" s="33">
        <f t="shared" si="18"/>
        <v>0.44587020288544998</v>
      </c>
      <c r="Z52" s="4">
        <f t="shared" si="30"/>
        <v>3.4117971111871643</v>
      </c>
      <c r="AA52" s="4">
        <f t="shared" si="31"/>
        <v>6.7180550616057291</v>
      </c>
    </row>
    <row r="53" spans="1:29" x14ac:dyDescent="0.2">
      <c r="A53" s="24">
        <v>0.16500000000000001</v>
      </c>
      <c r="C53" s="5">
        <f t="shared" si="32"/>
        <v>8.5513057202465956E-10</v>
      </c>
      <c r="D53" s="5">
        <f t="shared" si="32"/>
        <v>4.0699760480665522E-9</v>
      </c>
      <c r="E53" s="30">
        <f t="shared" si="22"/>
        <v>4.9251066200912116E-9</v>
      </c>
      <c r="F53" s="5"/>
      <c r="G53" s="5">
        <f t="shared" si="33"/>
        <v>3.9632142884971209E-10</v>
      </c>
      <c r="H53" s="5">
        <f t="shared" si="33"/>
        <v>4.0699760480665522E-9</v>
      </c>
      <c r="I53" s="30">
        <f t="shared" si="23"/>
        <v>4.4662974769162642E-9</v>
      </c>
      <c r="J53" s="11">
        <f t="shared" si="24"/>
        <v>1.1027269557270354</v>
      </c>
      <c r="K53" s="33">
        <f t="shared" si="10"/>
        <v>0.46870161570153601</v>
      </c>
      <c r="L53" s="4">
        <f t="shared" si="25"/>
        <v>4.7594790564325482</v>
      </c>
      <c r="M53" s="4">
        <f t="shared" si="26"/>
        <v>10.269381748746966</v>
      </c>
      <c r="N53" s="5"/>
      <c r="O53" s="5">
        <f t="shared" si="20"/>
        <v>6.1825740712990272E-11</v>
      </c>
      <c r="P53" s="5">
        <f t="shared" si="20"/>
        <v>1.0024553920694272E-9</v>
      </c>
      <c r="Q53" s="5">
        <f t="shared" si="20"/>
        <v>3.8220514004302746E-9</v>
      </c>
      <c r="R53" s="30">
        <f t="shared" si="27"/>
        <v>4.8863325332126921E-9</v>
      </c>
      <c r="S53" s="6"/>
      <c r="T53" s="5">
        <f t="shared" si="21"/>
        <v>2.1772291296711496E-11</v>
      </c>
      <c r="U53" s="5">
        <f t="shared" si="21"/>
        <v>5.1855198774350899E-10</v>
      </c>
      <c r="V53" s="5">
        <f t="shared" si="21"/>
        <v>3.8220514004302746E-9</v>
      </c>
      <c r="W53" s="30">
        <f t="shared" si="28"/>
        <v>4.362375679470495E-9</v>
      </c>
      <c r="X53" s="11">
        <f t="shared" si="29"/>
        <v>1.1201081457078439</v>
      </c>
      <c r="Y53" s="33">
        <f t="shared" si="18"/>
        <v>0.4513204257207275</v>
      </c>
      <c r="Z53" s="4">
        <f t="shared" si="30"/>
        <v>3.5912046946073768</v>
      </c>
      <c r="AA53" s="4">
        <f t="shared" si="31"/>
        <v>7.0736251334465212</v>
      </c>
      <c r="AC53" s="25" t="s">
        <v>39</v>
      </c>
    </row>
    <row r="54" spans="1:29" x14ac:dyDescent="0.2">
      <c r="A54" s="24">
        <v>0.17</v>
      </c>
      <c r="C54" s="5">
        <f t="shared" si="32"/>
        <v>9.0233830143051259E-10</v>
      </c>
      <c r="D54" s="5">
        <f t="shared" si="32"/>
        <v>4.5861870328369814E-9</v>
      </c>
      <c r="E54" s="30">
        <f t="shared" si="22"/>
        <v>5.4885253342674942E-9</v>
      </c>
      <c r="F54" s="5"/>
      <c r="G54" s="5">
        <f t="shared" si="33"/>
        <v>4.1820046742341272E-10</v>
      </c>
      <c r="H54" s="5">
        <f t="shared" si="33"/>
        <v>4.5861870328369814E-9</v>
      </c>
      <c r="I54" s="30">
        <f t="shared" si="23"/>
        <v>5.0043875002603939E-9</v>
      </c>
      <c r="J54" s="11">
        <f t="shared" si="24"/>
        <v>1.0967426750989824</v>
      </c>
      <c r="K54" s="33">
        <f t="shared" si="10"/>
        <v>0.47468589632958902</v>
      </c>
      <c r="L54" s="4">
        <f t="shared" si="25"/>
        <v>5.0825583105209189</v>
      </c>
      <c r="M54" s="4">
        <f t="shared" si="26"/>
        <v>10.966479930290546</v>
      </c>
      <c r="N54" s="5"/>
      <c r="O54" s="5">
        <f t="shared" si="20"/>
        <v>6.6616493831360185E-11</v>
      </c>
      <c r="P54" s="5">
        <f t="shared" si="20"/>
        <v>1.0609587839980532E-9</v>
      </c>
      <c r="Q54" s="5">
        <f t="shared" si="20"/>
        <v>4.2556944710079147E-9</v>
      </c>
      <c r="R54" s="30">
        <f t="shared" si="27"/>
        <v>5.3832697488373283E-9</v>
      </c>
      <c r="S54" s="6"/>
      <c r="T54" s="5">
        <f t="shared" si="21"/>
        <v>2.3459382647674688E-11</v>
      </c>
      <c r="U54" s="5">
        <f t="shared" si="21"/>
        <v>5.4881473101800019E-10</v>
      </c>
      <c r="V54" s="5">
        <f t="shared" si="21"/>
        <v>4.2556944710079147E-9</v>
      </c>
      <c r="W54" s="30">
        <f t="shared" si="28"/>
        <v>4.8279685846735892E-9</v>
      </c>
      <c r="X54" s="11">
        <f t="shared" si="29"/>
        <v>1.1150175595438929</v>
      </c>
      <c r="Y54" s="33">
        <f t="shared" si="18"/>
        <v>0.45641101188467847</v>
      </c>
      <c r="Z54" s="4">
        <f t="shared" si="30"/>
        <v>3.7741998735553537</v>
      </c>
      <c r="AA54" s="4">
        <f t="shared" si="31"/>
        <v>7.4364616001032511</v>
      </c>
    </row>
    <row r="55" spans="1:29" x14ac:dyDescent="0.2">
      <c r="A55" s="13">
        <v>0.17499999999999999</v>
      </c>
      <c r="C55" s="5">
        <f t="shared" si="32"/>
        <v>9.5067007031649159E-10</v>
      </c>
      <c r="D55" s="5">
        <f t="shared" si="32"/>
        <v>5.1500123592801438E-9</v>
      </c>
      <c r="E55" s="30">
        <f t="shared" si="22"/>
        <v>6.1006824295966357E-9</v>
      </c>
      <c r="F55" s="5"/>
      <c r="G55" s="5">
        <f t="shared" si="33"/>
        <v>4.4060045677050495E-10</v>
      </c>
      <c r="H55" s="5">
        <f t="shared" si="33"/>
        <v>5.1500123592801438E-9</v>
      </c>
      <c r="I55" s="30">
        <f t="shared" si="23"/>
        <v>5.5906128160506491E-9</v>
      </c>
      <c r="J55" s="11">
        <f t="shared" si="24"/>
        <v>1.0912367982417914</v>
      </c>
      <c r="K55" s="33">
        <f t="shared" si="10"/>
        <v>0.48019177318677997</v>
      </c>
      <c r="L55" s="4">
        <f t="shared" si="25"/>
        <v>5.417244657303276</v>
      </c>
      <c r="M55" s="4">
        <f t="shared" si="26"/>
        <v>11.688622379169763</v>
      </c>
      <c r="N55" s="5"/>
      <c r="O55" s="5">
        <f t="shared" si="20"/>
        <v>7.1623343272647691E-11</v>
      </c>
      <c r="P55" s="5">
        <f t="shared" si="20"/>
        <v>1.1210315997239186E-9</v>
      </c>
      <c r="Q55" s="5">
        <f t="shared" si="20"/>
        <v>4.7237977984392995E-9</v>
      </c>
      <c r="R55" s="30">
        <f t="shared" si="27"/>
        <v>5.916452741435866E-9</v>
      </c>
      <c r="S55" s="6"/>
      <c r="T55" s="5">
        <f t="shared" si="21"/>
        <v>2.5222573565524612E-11</v>
      </c>
      <c r="U55" s="5">
        <f t="shared" si="21"/>
        <v>5.7988930875027266E-10</v>
      </c>
      <c r="V55" s="5">
        <f t="shared" si="21"/>
        <v>4.7237977984392995E-9</v>
      </c>
      <c r="W55" s="30">
        <f t="shared" si="28"/>
        <v>5.3289096807550966E-9</v>
      </c>
      <c r="X55" s="11">
        <f t="shared" si="29"/>
        <v>1.1102557738598255</v>
      </c>
      <c r="Y55" s="33">
        <f t="shared" si="18"/>
        <v>0.46117279756874585</v>
      </c>
      <c r="Z55" s="4">
        <f t="shared" si="30"/>
        <v>3.9607413914461089</v>
      </c>
      <c r="AA55" s="4">
        <f t="shared" si="31"/>
        <v>7.80648659610031</v>
      </c>
    </row>
    <row r="56" spans="1:29" x14ac:dyDescent="0.2">
      <c r="A56" s="13">
        <v>0.18</v>
      </c>
      <c r="C56" s="5">
        <f t="shared" si="32"/>
        <v>1.000119379819602E-9</v>
      </c>
      <c r="D56" s="5">
        <f t="shared" si="32"/>
        <v>5.7642936502088661E-9</v>
      </c>
      <c r="E56" s="30">
        <f t="shared" ref="E56:E62" si="34">C56+D56</f>
        <v>6.7644130300284681E-9</v>
      </c>
      <c r="F56" s="5"/>
      <c r="G56" s="5">
        <f t="shared" si="33"/>
        <v>4.6351838490807972E-10</v>
      </c>
      <c r="H56" s="5">
        <f t="shared" si="33"/>
        <v>5.7642936502088661E-9</v>
      </c>
      <c r="I56" s="30">
        <f t="shared" ref="I56:I62" si="35">G56+H56</f>
        <v>6.2278120351169454E-9</v>
      </c>
      <c r="J56" s="11">
        <f t="shared" ref="J56:J62" si="36">E56/I56</f>
        <v>1.0861620408396682</v>
      </c>
      <c r="K56" s="33">
        <f t="shared" si="10"/>
        <v>0.48526653058890323</v>
      </c>
      <c r="L56" s="4">
        <f t="shared" ref="L56:L62" si="37">D56/C56</f>
        <v>5.7636055920130342</v>
      </c>
      <c r="M56" s="4">
        <f t="shared" ref="M56:M62" si="38">H56/G56</f>
        <v>12.435954727776295</v>
      </c>
      <c r="N56" s="5"/>
      <c r="O56" s="5">
        <f t="shared" si="20"/>
        <v>7.6849444117193153E-11</v>
      </c>
      <c r="P56" s="5">
        <f t="shared" si="20"/>
        <v>1.1826692957621914E-9</v>
      </c>
      <c r="Q56" s="5">
        <f t="shared" si="20"/>
        <v>5.2279971543858701E-9</v>
      </c>
      <c r="R56" s="30">
        <f t="shared" ref="R56:R62" si="39">SUM(O56:Q56)</f>
        <v>6.4875158942652547E-9</v>
      </c>
      <c r="S56" s="6"/>
      <c r="T56" s="5">
        <f t="shared" si="21"/>
        <v>2.7062975130006419E-11</v>
      </c>
      <c r="U56" s="5">
        <f t="shared" si="21"/>
        <v>6.1177337067805056E-10</v>
      </c>
      <c r="V56" s="5">
        <f t="shared" si="21"/>
        <v>5.2279971543858701E-9</v>
      </c>
      <c r="W56" s="30">
        <f t="shared" ref="W56:W62" si="40">SUM(T56:V56)</f>
        <v>5.8668335001939271E-9</v>
      </c>
      <c r="X56" s="11">
        <f t="shared" ref="X56:X62" si="41">R56/W56</f>
        <v>1.1057951268006516</v>
      </c>
      <c r="Y56" s="33">
        <f t="shared" si="18"/>
        <v>0.46563344462791978</v>
      </c>
      <c r="Z56" s="4">
        <f t="shared" ref="Z56:Z62" si="42">Q56/(SUM(O56:P56))</f>
        <v>4.1507894951102662</v>
      </c>
      <c r="AA56" s="4">
        <f t="shared" ref="AA56:AA62" si="43">V56/(SUM(T56:U56))</f>
        <v>8.1836251000606968</v>
      </c>
    </row>
    <row r="57" spans="1:29" x14ac:dyDescent="0.2">
      <c r="A57" s="13">
        <v>0.185</v>
      </c>
      <c r="C57" s="5">
        <f t="shared" si="32"/>
        <v>1.0506799502299973E-9</v>
      </c>
      <c r="D57" s="5">
        <f t="shared" si="32"/>
        <v>6.4319548943145931E-9</v>
      </c>
      <c r="E57" s="30">
        <f t="shared" si="34"/>
        <v>7.4826348445445901E-9</v>
      </c>
      <c r="F57" s="5"/>
      <c r="G57" s="5">
        <f t="shared" si="33"/>
        <v>4.8695134142261596E-10</v>
      </c>
      <c r="H57" s="5">
        <f t="shared" si="33"/>
        <v>6.4319548943145931E-9</v>
      </c>
      <c r="I57" s="30">
        <f t="shared" si="35"/>
        <v>6.9189062357372089E-9</v>
      </c>
      <c r="J57" s="11">
        <f t="shared" si="36"/>
        <v>1.0814765498476677</v>
      </c>
      <c r="K57" s="33">
        <f t="shared" si="10"/>
        <v>0.48995202158090367</v>
      </c>
      <c r="L57" s="4">
        <f t="shared" si="37"/>
        <v>6.1217070839760641</v>
      </c>
      <c r="M57" s="4">
        <f t="shared" si="38"/>
        <v>13.208619316097991</v>
      </c>
      <c r="N57" s="5"/>
      <c r="O57" s="5">
        <f t="shared" si="20"/>
        <v>8.2297906676539839E-11</v>
      </c>
      <c r="P57" s="5">
        <f t="shared" si="20"/>
        <v>1.2458674692714709E-9</v>
      </c>
      <c r="Q57" s="5">
        <f t="shared" si="20"/>
        <v>5.7699565983178926E-9</v>
      </c>
      <c r="R57" s="30">
        <f t="shared" si="39"/>
        <v>7.0981219742659034E-9</v>
      </c>
      <c r="S57" s="6"/>
      <c r="T57" s="5">
        <f t="shared" si="21"/>
        <v>2.898168265527506E-11</v>
      </c>
      <c r="U57" s="5">
        <f t="shared" si="21"/>
        <v>6.4446463929135401E-10</v>
      </c>
      <c r="V57" s="5">
        <f t="shared" si="21"/>
        <v>5.7699565983178926E-9</v>
      </c>
      <c r="W57" s="30">
        <f t="shared" si="40"/>
        <v>6.4434029202645217E-9</v>
      </c>
      <c r="X57" s="11">
        <f t="shared" si="41"/>
        <v>1.1016107578717897</v>
      </c>
      <c r="Y57" s="33">
        <f t="shared" si="18"/>
        <v>0.46981781355678165</v>
      </c>
      <c r="Z57" s="4">
        <f t="shared" si="42"/>
        <v>4.3443058393232423</v>
      </c>
      <c r="AA57" s="4">
        <f t="shared" si="43"/>
        <v>8.5678047533759703</v>
      </c>
    </row>
    <row r="58" spans="1:29" x14ac:dyDescent="0.2">
      <c r="A58" s="13">
        <v>0.19</v>
      </c>
      <c r="C58" s="5">
        <f t="shared" si="32"/>
        <v>1.1023457078102543E-9</v>
      </c>
      <c r="D58" s="5">
        <f t="shared" si="32"/>
        <v>7.1560024461674072E-9</v>
      </c>
      <c r="E58" s="30">
        <f t="shared" si="34"/>
        <v>8.2583481539776613E-9</v>
      </c>
      <c r="F58" s="5"/>
      <c r="G58" s="5">
        <f t="shared" si="33"/>
        <v>5.1089651136120152E-10</v>
      </c>
      <c r="H58" s="5">
        <f t="shared" si="33"/>
        <v>7.1560024461674072E-9</v>
      </c>
      <c r="I58" s="30">
        <f t="shared" si="35"/>
        <v>7.6668989575286093E-9</v>
      </c>
      <c r="J58" s="11">
        <f t="shared" si="36"/>
        <v>1.0771432100156049</v>
      </c>
      <c r="K58" s="33">
        <f t="shared" si="10"/>
        <v>0.49428536141296653</v>
      </c>
      <c r="L58" s="4">
        <f t="shared" si="37"/>
        <v>6.4916136521113597</v>
      </c>
      <c r="M58" s="4">
        <f t="shared" si="38"/>
        <v>14.006755354624346</v>
      </c>
      <c r="N58" s="5"/>
      <c r="O58" s="5">
        <f t="shared" si="20"/>
        <v>8.7971798346987182E-11</v>
      </c>
      <c r="P58" s="5">
        <f t="shared" si="20"/>
        <v>1.3106218499683706E-9</v>
      </c>
      <c r="Q58" s="5">
        <f t="shared" si="20"/>
        <v>6.351368160429836E-9</v>
      </c>
      <c r="R58" s="30">
        <f t="shared" si="39"/>
        <v>7.7499618087451943E-9</v>
      </c>
      <c r="S58" s="6"/>
      <c r="T58" s="5">
        <f t="shared" si="21"/>
        <v>3.0979776342634778E-11</v>
      </c>
      <c r="U58" s="5">
        <f t="shared" si="21"/>
        <v>6.7796090565005871E-10</v>
      </c>
      <c r="V58" s="5">
        <f t="shared" si="21"/>
        <v>6.351368160429836E-9</v>
      </c>
      <c r="W58" s="30">
        <f t="shared" si="40"/>
        <v>7.0603088424225293E-9</v>
      </c>
      <c r="X58" s="11">
        <f t="shared" si="41"/>
        <v>1.0976802830747034</v>
      </c>
      <c r="Y58" s="33">
        <f t="shared" si="18"/>
        <v>0.47374828835386795</v>
      </c>
      <c r="Z58" s="4">
        <f t="shared" si="42"/>
        <v>4.5412533998565081</v>
      </c>
      <c r="AA58" s="4">
        <f t="shared" si="43"/>
        <v>8.9589556951046792</v>
      </c>
    </row>
    <row r="59" spans="1:29" x14ac:dyDescent="0.2">
      <c r="A59" s="13">
        <v>0.19500000000000001</v>
      </c>
      <c r="C59" s="5">
        <f t="shared" si="32"/>
        <v>1.1551107727372315E-9</v>
      </c>
      <c r="D59" s="5">
        <f t="shared" si="32"/>
        <v>7.9395250262160248E-9</v>
      </c>
      <c r="E59" s="30">
        <f t="shared" si="34"/>
        <v>9.094635798953257E-9</v>
      </c>
      <c r="F59" s="5"/>
      <c r="G59" s="5">
        <f t="shared" si="33"/>
        <v>5.3535116964302975E-10</v>
      </c>
      <c r="H59" s="5">
        <f t="shared" si="33"/>
        <v>7.9395250262160248E-9</v>
      </c>
      <c r="I59" s="30">
        <f t="shared" si="35"/>
        <v>8.4748761958590545E-9</v>
      </c>
      <c r="J59" s="11">
        <f t="shared" si="36"/>
        <v>1.0731290450469384</v>
      </c>
      <c r="K59" s="33">
        <f t="shared" si="10"/>
        <v>0.498299526381633</v>
      </c>
      <c r="L59" s="4">
        <f t="shared" si="37"/>
        <v>6.8733884347749346</v>
      </c>
      <c r="M59" s="4">
        <f t="shared" si="38"/>
        <v>14.83049907504652</v>
      </c>
      <c r="N59" s="5"/>
      <c r="O59" s="5">
        <f t="shared" ref="O59:Q62" si="44">O$11*O$17*O$13^O$14*$A59^O$8</f>
        <v>9.3874145338649568E-11</v>
      </c>
      <c r="P59" s="5">
        <f t="shared" si="44"/>
        <v>1.3769282927100976E-9</v>
      </c>
      <c r="Q59" s="5">
        <f t="shared" si="44"/>
        <v>6.9739515366601083E-9</v>
      </c>
      <c r="R59" s="30">
        <f t="shared" si="39"/>
        <v>8.444753974708855E-9</v>
      </c>
      <c r="S59" s="6"/>
      <c r="T59" s="5">
        <f t="shared" ref="T59:V62" si="45">T$11*T$17*T$13^T$14*$A59^T$8</f>
        <v>3.3058321889437121E-11</v>
      </c>
      <c r="U59" s="5">
        <f t="shared" si="45"/>
        <v>7.1226002554699912E-10</v>
      </c>
      <c r="V59" s="5">
        <f t="shared" si="45"/>
        <v>6.9739515366601083E-9</v>
      </c>
      <c r="W59" s="30">
        <f t="shared" si="40"/>
        <v>7.719269884096544E-9</v>
      </c>
      <c r="X59" s="11">
        <f t="shared" si="41"/>
        <v>1.0939835115892209</v>
      </c>
      <c r="Y59" s="33">
        <f t="shared" si="18"/>
        <v>0.47744505983935048</v>
      </c>
      <c r="Z59" s="4">
        <f t="shared" si="42"/>
        <v>4.7415963940827854</v>
      </c>
      <c r="AA59" s="4">
        <f t="shared" si="43"/>
        <v>9.35701041125232</v>
      </c>
    </row>
    <row r="60" spans="1:29" x14ac:dyDescent="0.2">
      <c r="A60" s="13">
        <v>0.2</v>
      </c>
      <c r="C60" s="5">
        <f t="shared" si="32"/>
        <v>1.2089694480442458E-9</v>
      </c>
      <c r="D60" s="5">
        <f t="shared" si="32"/>
        <v>8.78569372078779E-9</v>
      </c>
      <c r="E60" s="30">
        <f t="shared" si="34"/>
        <v>9.994663168832036E-9</v>
      </c>
      <c r="F60" s="5"/>
      <c r="G60" s="5">
        <f t="shared" si="33"/>
        <v>5.6031267593450763E-10</v>
      </c>
      <c r="H60" s="5">
        <f t="shared" si="33"/>
        <v>8.78569372078779E-9</v>
      </c>
      <c r="I60" s="30">
        <f t="shared" si="35"/>
        <v>9.346006396722297E-9</v>
      </c>
      <c r="J60" s="11">
        <f t="shared" si="36"/>
        <v>1.06940470020834</v>
      </c>
      <c r="K60" s="33">
        <f t="shared" si="10"/>
        <v>0.5020238712202314</v>
      </c>
      <c r="L60" s="4">
        <f t="shared" si="37"/>
        <v>7.2670932545073308</v>
      </c>
      <c r="M60" s="4">
        <f t="shared" si="38"/>
        <v>15.679983869961045</v>
      </c>
      <c r="N60" s="5"/>
      <c r="O60" s="5">
        <f t="shared" si="44"/>
        <v>1.0000793429142314E-10</v>
      </c>
      <c r="P60" s="5">
        <f t="shared" si="44"/>
        <v>1.4447827706739127E-9</v>
      </c>
      <c r="Q60" s="5">
        <f t="shared" si="44"/>
        <v>7.6394537950437427E-9</v>
      </c>
      <c r="R60" s="30">
        <f t="shared" si="39"/>
        <v>9.184244500009079E-9</v>
      </c>
      <c r="S60" s="6"/>
      <c r="T60" s="5">
        <f t="shared" si="45"/>
        <v>3.5218371058152987E-11</v>
      </c>
      <c r="U60" s="5">
        <f t="shared" si="45"/>
        <v>7.473599159798271E-10</v>
      </c>
      <c r="V60" s="5">
        <f t="shared" si="45"/>
        <v>7.6394537950437427E-9</v>
      </c>
      <c r="W60" s="30">
        <f t="shared" si="40"/>
        <v>8.4220320820817223E-9</v>
      </c>
      <c r="X60" s="11">
        <f t="shared" si="41"/>
        <v>1.0905021983410632</v>
      </c>
      <c r="Y60" s="33">
        <f t="shared" si="18"/>
        <v>0.48092637308750819</v>
      </c>
      <c r="Z60" s="4">
        <f t="shared" si="42"/>
        <v>4.9453002082991997</v>
      </c>
      <c r="AA60" s="4">
        <f t="shared" si="43"/>
        <v>9.7619035968384651</v>
      </c>
    </row>
    <row r="61" spans="1:29" x14ac:dyDescent="0.2">
      <c r="A61" s="13">
        <v>0.20499999999999999</v>
      </c>
      <c r="C61" s="5">
        <f t="shared" si="32"/>
        <v>1.2639162094574009E-9</v>
      </c>
      <c r="D61" s="5">
        <f t="shared" si="32"/>
        <v>9.6977619820886765E-9</v>
      </c>
      <c r="E61" s="30">
        <f t="shared" si="34"/>
        <v>1.0961678191546078E-8</v>
      </c>
      <c r="F61" s="5"/>
      <c r="G61" s="5">
        <f t="shared" si="33"/>
        <v>5.8577846993876871E-10</v>
      </c>
      <c r="H61" s="5">
        <f t="shared" si="33"/>
        <v>9.6977619820886765E-9</v>
      </c>
      <c r="I61" s="30">
        <f t="shared" si="35"/>
        <v>1.0283540452027446E-8</v>
      </c>
      <c r="J61" s="11">
        <f t="shared" si="36"/>
        <v>1.0659439949385265</v>
      </c>
      <c r="K61" s="33">
        <f t="shared" si="10"/>
        <v>0.50548457649004486</v>
      </c>
      <c r="L61" s="4">
        <f t="shared" si="37"/>
        <v>7.6727886781766363</v>
      </c>
      <c r="M61" s="4">
        <f t="shared" si="38"/>
        <v>16.555340422638579</v>
      </c>
      <c r="N61" s="5"/>
      <c r="O61" s="5">
        <f t="shared" si="44"/>
        <v>1.0637611378795373E-10</v>
      </c>
      <c r="P61" s="5">
        <f t="shared" si="44"/>
        <v>1.5141813690715577E-9</v>
      </c>
      <c r="Q61" s="5">
        <f t="shared" si="44"/>
        <v>8.3496490926946842E-9</v>
      </c>
      <c r="R61" s="30">
        <f t="shared" si="39"/>
        <v>9.9702065755541963E-9</v>
      </c>
      <c r="S61" s="6"/>
      <c r="T61" s="5">
        <f t="shared" si="45"/>
        <v>3.7460962209172999E-11</v>
      </c>
      <c r="U61" s="5">
        <f t="shared" si="45"/>
        <v>7.8325855189959866E-10</v>
      </c>
      <c r="V61" s="5">
        <f t="shared" si="45"/>
        <v>8.3496490926946842E-9</v>
      </c>
      <c r="W61" s="30">
        <f t="shared" si="40"/>
        <v>9.1703686068034551E-9</v>
      </c>
      <c r="X61" s="11">
        <f t="shared" si="41"/>
        <v>1.0872198275822136</v>
      </c>
      <c r="Y61" s="33">
        <f t="shared" si="18"/>
        <v>0.48420874384635781</v>
      </c>
      <c r="Z61" s="4">
        <f t="shared" si="42"/>
        <v>5.1523313310438912</v>
      </c>
      <c r="AA61" s="4">
        <f t="shared" si="43"/>
        <v>10.173572029369449</v>
      </c>
    </row>
    <row r="62" spans="1:29" x14ac:dyDescent="0.2">
      <c r="A62" s="13">
        <v>0.21</v>
      </c>
      <c r="C62" s="5">
        <f t="shared" ref="C62:D62" si="46">C$11*C$17*C$13^C$14*$A62^C$8</f>
        <v>1.3199456960334887E-9</v>
      </c>
      <c r="D62" s="5">
        <f t="shared" si="46"/>
        <v>1.0679065628203307E-8</v>
      </c>
      <c r="E62" s="31">
        <f t="shared" si="34"/>
        <v>1.1999011324236796E-8</v>
      </c>
      <c r="F62" s="5"/>
      <c r="G62" s="5">
        <f t="shared" ref="G62:H62" si="47">G$11*G$17*G$13^G$14*$A62^G$8</f>
        <v>6.117460670566864E-10</v>
      </c>
      <c r="H62" s="5">
        <f t="shared" si="47"/>
        <v>1.0679065628203307E-8</v>
      </c>
      <c r="I62" s="31">
        <f t="shared" si="35"/>
        <v>1.1290811695259993E-8</v>
      </c>
      <c r="J62" s="11">
        <f t="shared" si="36"/>
        <v>1.0627235355695563</v>
      </c>
      <c r="K62" s="33">
        <f t="shared" si="10"/>
        <v>0.50870503585901505</v>
      </c>
      <c r="L62" s="4">
        <f t="shared" si="37"/>
        <v>8.0905340729505024</v>
      </c>
      <c r="M62" s="4">
        <f t="shared" si="38"/>
        <v>17.45669682779301</v>
      </c>
      <c r="N62" s="5"/>
      <c r="O62" s="5">
        <f t="shared" si="44"/>
        <v>1.1298159577257129E-10</v>
      </c>
      <c r="P62" s="5">
        <f t="shared" si="44"/>
        <v>1.5851202793445076E-9</v>
      </c>
      <c r="Q62" s="5">
        <f t="shared" si="44"/>
        <v>9.1063384027744971E-9</v>
      </c>
      <c r="R62" s="31">
        <f t="shared" si="39"/>
        <v>1.0804440277891577E-8</v>
      </c>
      <c r="S62" s="6"/>
      <c r="T62" s="5">
        <f t="shared" si="45"/>
        <v>3.9787120800493456E-11</v>
      </c>
      <c r="U62" s="5">
        <f t="shared" si="45"/>
        <v>8.1995396320808394E-10</v>
      </c>
      <c r="V62" s="5">
        <f t="shared" si="45"/>
        <v>9.1063384027744971E-9</v>
      </c>
      <c r="W62" s="31">
        <f t="shared" si="40"/>
        <v>9.9660794867830751E-9</v>
      </c>
      <c r="X62" s="11">
        <f t="shared" si="41"/>
        <v>1.0841214232959238</v>
      </c>
      <c r="Y62" s="33">
        <f t="shared" si="18"/>
        <v>0.48730714813264764</v>
      </c>
      <c r="Z62" s="4">
        <f t="shared" si="42"/>
        <v>5.3626572917756441</v>
      </c>
      <c r="AA62" s="4">
        <f t="shared" si="43"/>
        <v>10.591954452514736</v>
      </c>
    </row>
  </sheetData>
  <mergeCells count="9">
    <mergeCell ref="K5:P5"/>
    <mergeCell ref="J15:L15"/>
    <mergeCell ref="X15:Z15"/>
    <mergeCell ref="E14:E17"/>
    <mergeCell ref="I14:I17"/>
    <mergeCell ref="R14:R17"/>
    <mergeCell ref="W14:W17"/>
    <mergeCell ref="K16:M16"/>
    <mergeCell ref="Y16:AA16"/>
  </mergeCells>
  <conditionalFormatting sqref="K21:K62 Y21:Y62">
    <cfRule type="cellIs" dxfId="1" priority="1" operator="lessThanOrEqual">
      <formula>0.02</formula>
    </cfRule>
    <cfRule type="cellIs" dxfId="0" priority="2" operator="lessThanOrEqual">
      <formula>0.04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06131-E015-EC43-AF99-5E44C26ED8F9}">
  <dimension ref="A2:T8"/>
  <sheetViews>
    <sheetView workbookViewId="0">
      <selection activeCell="L25" sqref="L25"/>
    </sheetView>
  </sheetViews>
  <sheetFormatPr baseColWidth="10" defaultRowHeight="16" x14ac:dyDescent="0.2"/>
  <cols>
    <col min="1" max="1" width="16.5" customWidth="1"/>
    <col min="2" max="2" width="10.83203125" style="1"/>
    <col min="3" max="3" width="11" style="1" customWidth="1"/>
    <col min="4" max="5" width="10.83203125" style="1"/>
    <col min="6" max="6" width="12.1640625" style="1" bestFit="1" customWidth="1"/>
    <col min="7" max="15" width="10.83203125" style="1"/>
    <col min="19" max="20" width="10.83203125" style="1"/>
  </cols>
  <sheetData>
    <row r="2" spans="1:20" x14ac:dyDescent="0.2">
      <c r="A2" t="s">
        <v>46</v>
      </c>
      <c r="B2" s="1">
        <v>1.8</v>
      </c>
      <c r="C2" s="1" t="s">
        <v>58</v>
      </c>
    </row>
    <row r="3" spans="1:20" ht="17" customHeight="1" x14ac:dyDescent="0.2">
      <c r="A3" t="s">
        <v>56</v>
      </c>
      <c r="B3" s="1">
        <v>1</v>
      </c>
      <c r="C3" s="1" t="s">
        <v>57</v>
      </c>
      <c r="K3" s="40" t="s">
        <v>61</v>
      </c>
      <c r="L3" s="40"/>
      <c r="M3" s="40" t="s">
        <v>62</v>
      </c>
      <c r="N3" s="40"/>
      <c r="O3" s="40" t="s">
        <v>61</v>
      </c>
      <c r="P3" s="40"/>
      <c r="Q3" s="40" t="s">
        <v>62</v>
      </c>
      <c r="R3" s="40"/>
      <c r="S3" s="40" t="s">
        <v>62</v>
      </c>
      <c r="T3" s="40"/>
    </row>
    <row r="4" spans="1:20" s="8" customFormat="1" ht="102" x14ac:dyDescent="0.2">
      <c r="B4" s="7" t="s">
        <v>47</v>
      </c>
      <c r="C4" s="7" t="s">
        <v>48</v>
      </c>
      <c r="D4" s="7" t="s">
        <v>49</v>
      </c>
      <c r="E4" s="7" t="s">
        <v>50</v>
      </c>
      <c r="F4" s="7" t="s">
        <v>52</v>
      </c>
      <c r="G4" s="7" t="s">
        <v>51</v>
      </c>
      <c r="H4" s="7" t="s">
        <v>53</v>
      </c>
      <c r="I4" s="7" t="s">
        <v>54</v>
      </c>
      <c r="J4" s="7" t="s">
        <v>55</v>
      </c>
      <c r="K4" s="7" t="s">
        <v>59</v>
      </c>
      <c r="L4" s="7" t="s">
        <v>60</v>
      </c>
      <c r="M4" s="7" t="s">
        <v>59</v>
      </c>
      <c r="N4" s="7" t="s">
        <v>60</v>
      </c>
      <c r="O4" s="7" t="s">
        <v>63</v>
      </c>
      <c r="P4" s="8" t="s">
        <v>64</v>
      </c>
      <c r="Q4" s="7" t="s">
        <v>63</v>
      </c>
      <c r="R4" s="8" t="s">
        <v>64</v>
      </c>
      <c r="S4" s="7" t="s">
        <v>65</v>
      </c>
      <c r="T4" s="7" t="s">
        <v>66</v>
      </c>
    </row>
    <row r="5" spans="1:20" x14ac:dyDescent="0.2">
      <c r="B5" s="3">
        <v>1E-10</v>
      </c>
      <c r="C5" s="3">
        <f>B5*Probe_length</f>
        <v>1.8E-10</v>
      </c>
      <c r="D5" s="3">
        <f>C5*24*365*3600</f>
        <v>5.6764800000000002E-3</v>
      </c>
      <c r="E5" s="4">
        <f>D5*1000</f>
        <v>5.6764800000000006</v>
      </c>
      <c r="F5" s="3">
        <f>DEGREES(ATAN(B5))</f>
        <v>5.7295779513082326E-9</v>
      </c>
      <c r="G5" s="4">
        <f>F5*365*24*3600</f>
        <v>0.18068797027245642</v>
      </c>
      <c r="H5" s="4">
        <f>E5*9</f>
        <v>51.088320000000003</v>
      </c>
      <c r="I5" s="4">
        <f>G5*9</f>
        <v>1.6261917324521078</v>
      </c>
      <c r="J5" s="4">
        <f>DEGREES(ATAN(H5/(Probe_length*1000)))</f>
        <v>1.6257552780416202</v>
      </c>
      <c r="K5" s="4">
        <f>IF(G5-Inclination_Error&lt;0,0,G5-Inclination_Error)</f>
        <v>0</v>
      </c>
      <c r="L5" s="4">
        <f>G5+Inclination_Error</f>
        <v>1.1806879702724564</v>
      </c>
      <c r="M5" s="4">
        <f>IF(I5-Inclination_Error&lt;0,0,I5-Inclination_Error)</f>
        <v>0.6261917324521078</v>
      </c>
      <c r="N5" s="4">
        <f>I5+Inclination_Error</f>
        <v>2.6261917324521078</v>
      </c>
      <c r="O5" s="3">
        <f>TAN(RADIANS(K5))/(3600*24*365)</f>
        <v>0</v>
      </c>
      <c r="P5" s="3">
        <f t="shared" ref="P5:P8" si="0">TAN(RADIANS(L5))/(3600*24*365)</f>
        <v>6.5353278412085499E-10</v>
      </c>
      <c r="Q5" s="3">
        <f>TAN(RADIANS(M5))/(3600*24*365)/9</f>
        <v>3.8508169304513774E-11</v>
      </c>
      <c r="R5" s="3">
        <f>TAN(RADIANS(N5))/(3600*24*365)/9</f>
        <v>1.6160655341604731E-10</v>
      </c>
      <c r="S5" s="34">
        <f>(B5-Q5)/B5*100</f>
        <v>61.491830695486229</v>
      </c>
      <c r="T5" s="34">
        <f>(R5-B5)/B5*100</f>
        <v>61.606553416047305</v>
      </c>
    </row>
    <row r="6" spans="1:20" x14ac:dyDescent="0.2">
      <c r="B6" s="3">
        <v>2.0000000000000001E-10</v>
      </c>
      <c r="C6" s="3">
        <f>B6*Probe_length</f>
        <v>3.6E-10</v>
      </c>
      <c r="D6" s="3">
        <f t="shared" ref="D6:D8" si="1">C6*24*365*3600</f>
        <v>1.135296E-2</v>
      </c>
      <c r="E6" s="4">
        <f t="shared" ref="E6:E8" si="2">D6*1000</f>
        <v>11.352960000000001</v>
      </c>
      <c r="F6" s="3">
        <f t="shared" ref="F6:F8" si="3">DEGREES(ATAN(B6))</f>
        <v>1.1459155902616465E-8</v>
      </c>
      <c r="G6" s="4">
        <f t="shared" ref="G6:G8" si="4">F6*365*24*3600</f>
        <v>0.36137594054491284</v>
      </c>
      <c r="H6" s="4">
        <f t="shared" ref="H6:H8" si="5">E6*9</f>
        <v>102.17664000000001</v>
      </c>
      <c r="I6" s="4">
        <f t="shared" ref="I6:I8" si="6">G6*9</f>
        <v>3.2523834649042156</v>
      </c>
      <c r="J6" s="4">
        <f>DEGREES(ATAN(H6/(Probe_length*1000)))</f>
        <v>3.248896880435451</v>
      </c>
      <c r="K6" s="4">
        <f>IF(G6-Inclination_Error&lt;0,0,G6-Inclination_Error)</f>
        <v>0</v>
      </c>
      <c r="L6" s="4">
        <f>G6+Inclination_Error</f>
        <v>1.3613759405449128</v>
      </c>
      <c r="M6" s="4">
        <f>IF(I6-Inclination_Error&lt;0,0,I6-Inclination_Error)</f>
        <v>2.2523834649042156</v>
      </c>
      <c r="N6" s="4">
        <f>I6+Inclination_Error</f>
        <v>4.2523834649042156</v>
      </c>
      <c r="O6" s="3">
        <f t="shared" ref="O6:O8" si="7">TAN(RADIANS(K6))/(3600*24*365)</f>
        <v>0</v>
      </c>
      <c r="P6" s="3">
        <f t="shared" si="0"/>
        <v>7.535820949319092E-10</v>
      </c>
      <c r="Q6" s="3">
        <f t="shared" ref="Q6:R8" si="8">TAN(RADIANS(M6))/(3600*24*365)/9</f>
        <v>1.3857802935393114E-10</v>
      </c>
      <c r="R6" s="3">
        <f t="shared" si="8"/>
        <v>2.6197455433163589E-10</v>
      </c>
      <c r="S6" s="34">
        <f t="shared" ref="S6:S8" si="9">(B6-Q6)/B6*100</f>
        <v>30.710985323034436</v>
      </c>
      <c r="T6" s="34">
        <f t="shared" ref="T6:T8" si="10">(R6-B6)/B6*100</f>
        <v>30.987277165817943</v>
      </c>
    </row>
    <row r="7" spans="1:20" x14ac:dyDescent="0.2">
      <c r="B7" s="3">
        <v>3E-10</v>
      </c>
      <c r="C7" s="3">
        <f>B7*Probe_length</f>
        <v>5.4E-10</v>
      </c>
      <c r="D7" s="3">
        <f t="shared" si="1"/>
        <v>1.702944E-2</v>
      </c>
      <c r="E7" s="4">
        <f t="shared" si="2"/>
        <v>17.029440000000001</v>
      </c>
      <c r="F7" s="3">
        <f t="shared" si="3"/>
        <v>1.7188733853924695E-8</v>
      </c>
      <c r="G7" s="4">
        <f t="shared" si="4"/>
        <v>0.54206391081736915</v>
      </c>
      <c r="H7" s="4">
        <f t="shared" si="5"/>
        <v>153.26496</v>
      </c>
      <c r="I7" s="4">
        <f t="shared" si="6"/>
        <v>4.8785751973563221</v>
      </c>
      <c r="J7" s="4">
        <f>DEGREES(ATAN(H7/(Probe_length*1000)))</f>
        <v>4.866836255594734</v>
      </c>
      <c r="K7" s="4">
        <f>IF(G7-Inclination_Error&lt;0,0,G7-Inclination_Error)</f>
        <v>0</v>
      </c>
      <c r="L7" s="4">
        <f>G7+Inclination_Error</f>
        <v>1.5420639108173693</v>
      </c>
      <c r="M7" s="4">
        <f>IF(I7-Inclination_Error&lt;0,0,I7-Inclination_Error)</f>
        <v>3.8785751973563221</v>
      </c>
      <c r="N7" s="4">
        <f>I7+Inclination_Error</f>
        <v>5.8785751973563221</v>
      </c>
      <c r="O7" s="3">
        <f t="shared" si="7"/>
        <v>0</v>
      </c>
      <c r="P7" s="3">
        <f t="shared" si="0"/>
        <v>8.5364640334658709E-10</v>
      </c>
      <c r="Q7" s="3">
        <f t="shared" si="8"/>
        <v>2.3887162122458377E-10</v>
      </c>
      <c r="R7" s="3">
        <f t="shared" si="8"/>
        <v>3.6276719141918703E-10</v>
      </c>
      <c r="S7" s="34">
        <f t="shared" si="9"/>
        <v>20.376126258472073</v>
      </c>
      <c r="T7" s="34">
        <f t="shared" si="10"/>
        <v>20.922397139729011</v>
      </c>
    </row>
    <row r="8" spans="1:20" x14ac:dyDescent="0.2">
      <c r="B8" s="3">
        <v>4.0000000000000001E-10</v>
      </c>
      <c r="C8" s="3">
        <f>B8*Probe_length</f>
        <v>7.2E-10</v>
      </c>
      <c r="D8" s="3">
        <f t="shared" si="1"/>
        <v>2.2705920000000001E-2</v>
      </c>
      <c r="E8" s="4">
        <f t="shared" si="2"/>
        <v>22.705920000000003</v>
      </c>
      <c r="F8" s="3">
        <f t="shared" si="3"/>
        <v>2.291831180523293E-8</v>
      </c>
      <c r="G8" s="4">
        <f t="shared" si="4"/>
        <v>0.72275188108982569</v>
      </c>
      <c r="H8" s="4">
        <f t="shared" si="5"/>
        <v>204.35328000000001</v>
      </c>
      <c r="I8" s="4">
        <f t="shared" si="6"/>
        <v>6.5047669298084312</v>
      </c>
      <c r="J8" s="4">
        <f>DEGREES(ATAN(H8/(Probe_length*1000)))</f>
        <v>6.4770344993359377</v>
      </c>
      <c r="K8" s="4">
        <f>IF(G8-Inclination_Error&lt;0,0,G8-Inclination_Error)</f>
        <v>0</v>
      </c>
      <c r="L8" s="4">
        <f>G8+Inclination_Error</f>
        <v>1.7227518810898257</v>
      </c>
      <c r="M8" s="4">
        <f>IF(I8-Inclination_Error&lt;0,0,I8-Inclination_Error)</f>
        <v>5.5047669298084312</v>
      </c>
      <c r="N8" s="4">
        <f>I8+Inclination_Error</f>
        <v>7.5047669298084312</v>
      </c>
      <c r="O8" s="3">
        <f t="shared" si="7"/>
        <v>0</v>
      </c>
      <c r="P8" s="3">
        <f t="shared" si="0"/>
        <v>9.5372770353569715E-10</v>
      </c>
      <c r="Q8" s="3">
        <f t="shared" si="8"/>
        <v>3.3955204236967705E-10</v>
      </c>
      <c r="R8" s="3">
        <f t="shared" si="8"/>
        <v>4.6415080882934007E-10</v>
      </c>
      <c r="S8" s="34">
        <f t="shared" si="9"/>
        <v>15.11198940758074</v>
      </c>
      <c r="T8" s="34">
        <f t="shared" si="10"/>
        <v>16.037702207335013</v>
      </c>
    </row>
  </sheetData>
  <mergeCells count="5">
    <mergeCell ref="K3:L3"/>
    <mergeCell ref="M3:N3"/>
    <mergeCell ref="O3:P3"/>
    <mergeCell ref="Q3:R3"/>
    <mergeCell ref="S3:T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GS exponent simple</vt:lpstr>
      <vt:lpstr>Composite Rheology Calcs</vt:lpstr>
      <vt:lpstr>Strain Rate errors reverse eng</vt:lpstr>
      <vt:lpstr>Rate ratio vs stress</vt:lpstr>
      <vt:lpstr>D</vt:lpstr>
      <vt:lpstr>D2_</vt:lpstr>
      <vt:lpstr>Easy_enhance</vt:lpstr>
      <vt:lpstr>easy?</vt:lpstr>
      <vt:lpstr>Inclination_Error</vt:lpstr>
      <vt:lpstr>Probe_length</vt:lpstr>
      <vt:lpstr>R_</vt:lpstr>
      <vt:lpstr>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2024-07-01T03:42:28Z</dcterms:created>
  <dcterms:modified xsi:type="dcterms:W3CDTF">2025-12-12T07:49:08Z</dcterms:modified>
</cp:coreProperties>
</file>